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na.lokasaari\Desktop\Uhma\"/>
    </mc:Choice>
  </mc:AlternateContent>
  <xr:revisionPtr revIDLastSave="0" documentId="8_{E201F1D9-0618-4D3E-8467-19EE39984D1B}" xr6:coauthVersionLast="45" xr6:coauthVersionMax="45" xr10:uidLastSave="{00000000-0000-0000-0000-000000000000}"/>
  <bookViews>
    <workbookView xWindow="-120" yWindow="-120" windowWidth="29040" windowHeight="15840" xr2:uid="{24448596-B0B9-4F98-8B51-DFF531D85A33}"/>
  </bookViews>
  <sheets>
    <sheet name="Lammaslaskuri" sheetId="5" r:id="rId1"/>
    <sheet name="Tausta-arvot" sheetId="13" state="hidden" r:id="rId2"/>
    <sheet name="Laiduntyyppi" sheetId="6" state="hidden" r:id="rId3"/>
    <sheet name="Aitatyyppi" sheetId="9" state="hidden" r:id="rId4"/>
    <sheet name="Tolppatyyppi" sheetId="10" state="hidden" r:id="rId5"/>
    <sheet name="Paimentyyppi" sheetId="12" state="hidden" r:id="rId6"/>
  </sheets>
  <definedNames>
    <definedName name="Laiduntyyppi">Laiduntyyppi!$A$4:$A$9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" i="5" l="1"/>
  <c r="C33" i="5"/>
  <c r="C30" i="5"/>
  <c r="C20" i="5"/>
  <c r="C51" i="5" l="1"/>
  <c r="C48" i="5" l="1"/>
  <c r="B18" i="13" l="1"/>
  <c r="B15" i="13"/>
  <c r="B17" i="13" s="1"/>
  <c r="C4" i="10" l="1"/>
  <c r="B6" i="6"/>
  <c r="B7" i="6"/>
  <c r="B8" i="6"/>
  <c r="B9" i="6"/>
  <c r="B5" i="6"/>
  <c r="B4" i="6"/>
  <c r="B6" i="12" l="1"/>
  <c r="B7" i="12"/>
  <c r="B8" i="12"/>
  <c r="B9" i="12"/>
  <c r="B10" i="12"/>
  <c r="B5" i="12"/>
  <c r="B4" i="10"/>
  <c r="C15" i="10"/>
  <c r="B15" i="10" s="1"/>
  <c r="C14" i="10"/>
  <c r="B14" i="10" s="1"/>
  <c r="C13" i="10"/>
  <c r="B6" i="10"/>
  <c r="B7" i="10"/>
  <c r="B8" i="10"/>
  <c r="B9" i="10"/>
  <c r="B10" i="10"/>
  <c r="B11" i="10"/>
  <c r="B12" i="10"/>
  <c r="B13" i="10"/>
  <c r="B16" i="10"/>
  <c r="B5" i="10"/>
  <c r="C16" i="9"/>
  <c r="B16" i="9" s="1"/>
  <c r="C21" i="9"/>
  <c r="B21" i="9" s="1"/>
  <c r="C15" i="9"/>
  <c r="B15" i="9" s="1"/>
  <c r="C20" i="9"/>
  <c r="B20" i="9" s="1"/>
  <c r="C19" i="9"/>
  <c r="B19" i="9" s="1"/>
  <c r="C18" i="9"/>
  <c r="C17" i="9"/>
  <c r="B17" i="9" s="1"/>
  <c r="C14" i="9"/>
  <c r="B14" i="9" s="1"/>
  <c r="B18" i="9"/>
  <c r="B4" i="9"/>
  <c r="C13" i="9"/>
  <c r="B13" i="9" s="1"/>
  <c r="C12" i="9"/>
  <c r="B12" i="9" s="1"/>
  <c r="C6" i="9"/>
  <c r="B6" i="9" s="1"/>
  <c r="C9" i="9"/>
  <c r="B9" i="9" s="1"/>
  <c r="C11" i="9"/>
  <c r="B11" i="9" s="1"/>
  <c r="C7" i="9"/>
  <c r="B7" i="9" s="1"/>
  <c r="C4" i="9"/>
  <c r="C8" i="9"/>
  <c r="B8" i="9" s="1"/>
  <c r="C10" i="9"/>
  <c r="B10" i="9" s="1"/>
  <c r="C5" i="9"/>
  <c r="B5" i="9" s="1"/>
  <c r="C36" i="5"/>
  <c r="C37" i="5" l="1"/>
  <c r="C43" i="5" s="1"/>
  <c r="C86" i="5"/>
  <c r="C80" i="5"/>
  <c r="C72" i="5"/>
  <c r="C79" i="5"/>
  <c r="C74" i="5"/>
  <c r="C73" i="5"/>
  <c r="C75" i="5" l="1"/>
  <c r="C21" i="5"/>
  <c r="C89" i="5" s="1"/>
  <c r="C94" i="5" s="1"/>
  <c r="C60" i="5" l="1"/>
  <c r="C52" i="5"/>
  <c r="C54" i="5" s="1"/>
  <c r="C76" i="5"/>
  <c r="C82" i="5" s="1"/>
  <c r="C66" i="5"/>
  <c r="C93" i="5" l="1"/>
  <c r="C68" i="5"/>
  <c r="C92" i="5" s="1"/>
  <c r="C95" i="5" l="1"/>
</calcChain>
</file>

<file path=xl/sharedStrings.xml><?xml version="1.0" encoding="utf-8"?>
<sst xmlns="http://schemas.openxmlformats.org/spreadsheetml/2006/main" count="294" uniqueCount="218">
  <si>
    <t>ha</t>
  </si>
  <si>
    <t>e/ha</t>
  </si>
  <si>
    <t>Maisemanhoitotuki</t>
  </si>
  <si>
    <t>Laiduntyyppi</t>
  </si>
  <si>
    <t>Laitumen pinta-ala</t>
  </si>
  <si>
    <t>Laitumen tyyppi</t>
  </si>
  <si>
    <t>kpl</t>
  </si>
  <si>
    <t>päivää</t>
  </si>
  <si>
    <t>Laidunnuspäivien määrä</t>
  </si>
  <si>
    <t>km</t>
  </si>
  <si>
    <t>Sopimusaika</t>
  </si>
  <si>
    <t>vuotta</t>
  </si>
  <si>
    <t>m</t>
  </si>
  <si>
    <t>Aitatyyppi</t>
  </si>
  <si>
    <t>eläintä/kuorma</t>
  </si>
  <si>
    <t>Kuiva niitty/keto</t>
  </si>
  <si>
    <t>Tuore niitty</t>
  </si>
  <si>
    <t>Kostea niitty/rantaniitty</t>
  </si>
  <si>
    <t>Hakamaa</t>
  </si>
  <si>
    <t>Metsälaidun</t>
  </si>
  <si>
    <t>Viljelty laidun</t>
  </si>
  <si>
    <t>Alueen kantokyky (uuhi + 2,5 karitsaa)</t>
  </si>
  <si>
    <t>Alueesta maksettava vuokra</t>
  </si>
  <si>
    <t>kuormaa</t>
  </si>
  <si>
    <t>valitse pudotusvalikosta</t>
  </si>
  <si>
    <t>valitse pudostusvalikosta</t>
  </si>
  <si>
    <t>h/päivä</t>
  </si>
  <si>
    <t>h/vuosi</t>
  </si>
  <si>
    <t>Huomiot</t>
  </si>
  <si>
    <t>Myyjä</t>
  </si>
  <si>
    <t>e/kpl</t>
  </si>
  <si>
    <t>e/vuosi</t>
  </si>
  <si>
    <t>e/h</t>
  </si>
  <si>
    <t>e/km</t>
  </si>
  <si>
    <t>KIRJOITA VAIN VIHREISIIN RUUTUIHIN!</t>
  </si>
  <si>
    <t>Onko kohteessa kiinteä kokooma-aitaus vai tehdäänkö se siirtoaidoista?</t>
  </si>
  <si>
    <t>EI SAA MUUTTAA</t>
  </si>
  <si>
    <t>Kilometrikorvaus valvontakäynneille</t>
  </si>
  <si>
    <t>Kilometrikorvaus eläinten kuljettamiseen</t>
  </si>
  <si>
    <t>Eläinten hakeminen laitumelta</t>
  </si>
  <si>
    <t>Alueella laidunnettavien eläinten määrä</t>
  </si>
  <si>
    <t>Kuljettamisen kustannukset yhteensä</t>
  </si>
  <si>
    <t>Eläinten vieminen laitumelle</t>
  </si>
  <si>
    <t>Ota huomioon kaikkien lastaamisessa tarvittavien henkilöiden työtunnit</t>
  </si>
  <si>
    <t>Tuntipalkka</t>
  </si>
  <si>
    <t>Valtion matkustusohjesääntö: 0,43 e/km (oma auto) + 0,07 e/km (perävaunun kuljettaminen)</t>
  </si>
  <si>
    <t>Hoitopäiväkirjan pitäminen</t>
  </si>
  <si>
    <t>Vesihuolto</t>
  </si>
  <si>
    <t>Alueen maisemanhoitotuki vuodessa</t>
  </si>
  <si>
    <t>Vesihuollon kustannukset</t>
  </si>
  <si>
    <t>Yleisarvio</t>
  </si>
  <si>
    <t>e/ha/vuosi</t>
  </si>
  <si>
    <t>Merkitse 0, jos alueesta ei makseta vuokraa</t>
  </si>
  <si>
    <t>Peruskunnostus raivaussahalla 1. vuonna</t>
  </si>
  <si>
    <t>Alueen alkukunnostamisen kustannukset</t>
  </si>
  <si>
    <t>e</t>
  </si>
  <si>
    <t>Alueen alkukunnostamisen kustannukset yhteensä</t>
  </si>
  <si>
    <t>Raivausjätteen korjaus/kasaus</t>
  </si>
  <si>
    <t>Raivausjätteen poiskuljetus</t>
  </si>
  <si>
    <t>Heinän niitto raivaussahalla vaikeakulkuisella alueella</t>
  </si>
  <si>
    <t>Heinän niitto traktorilla avoimella alueella</t>
  </si>
  <si>
    <t>Kustannus 211 e/ha</t>
  </si>
  <si>
    <t>Kustannus 130 e/ha</t>
  </si>
  <si>
    <t>e/ha/työkerta</t>
  </si>
  <si>
    <t>krt/vuosi</t>
  </si>
  <si>
    <t>Puhdistusniittokertojen määrä vuodessa</t>
  </si>
  <si>
    <t>h/kuorma</t>
  </si>
  <si>
    <t>e/laidunkausi</t>
  </si>
  <si>
    <t>Eläimen päivässä syömä rehumäärä</t>
  </si>
  <si>
    <t>Eläimen päivässä syömän rehun arvo</t>
  </si>
  <si>
    <t>e/päivä</t>
  </si>
  <si>
    <t>Kustannus 42 e/ha/työkerta, 2 työkertaa/vuosi</t>
  </si>
  <si>
    <t>Alueen etäisyys tilakeskuksesta</t>
  </si>
  <si>
    <t>e/m</t>
  </si>
  <si>
    <t>Tolppatyyppi</t>
  </si>
  <si>
    <t>Tuki on joko 450 e/ha tai 600 e/ha</t>
  </si>
  <si>
    <t>Alueen alkukunnostamisen kustannukset sopimusaikana</t>
  </si>
  <si>
    <t>Savenmaa</t>
  </si>
  <si>
    <t>Aitaverkko High Tensil 100 cm</t>
  </si>
  <si>
    <t>Farmarin verkkokauppa</t>
  </si>
  <si>
    <t>Aitaverkko High Tensil 122 cm</t>
  </si>
  <si>
    <t>Aitaverkko 80 cm</t>
  </si>
  <si>
    <t>Aitaverkko 90 cm</t>
  </si>
  <si>
    <t>Aitaverkko 100 cm</t>
  </si>
  <si>
    <t>Aitaverkko 125 cm</t>
  </si>
  <si>
    <t>Kellfri</t>
  </si>
  <si>
    <t>Aitaverkko Kellfri 90 cm</t>
  </si>
  <si>
    <t>Aitaverkko Kellfri 120 cm</t>
  </si>
  <si>
    <t>Lantmännen Agro</t>
  </si>
  <si>
    <t>e/m (ei alv)</t>
  </si>
  <si>
    <t>e/m (sis. Alv)</t>
  </si>
  <si>
    <t>Hankkija</t>
  </si>
  <si>
    <t>Ei paimenta</t>
  </si>
  <si>
    <t>e/kpl (sis. Alv)</t>
  </si>
  <si>
    <t>e/kpl (ei alv)</t>
  </si>
  <si>
    <t>High Tensile teräs 2,5 mm</t>
  </si>
  <si>
    <t>High Tensile teräs 2,0 mm</t>
  </si>
  <si>
    <t>Aitalanka BW DeLaval</t>
  </si>
  <si>
    <t>Aitalanka W2 DeLaval</t>
  </si>
  <si>
    <t>Aitalanka Olli Jumbo 3 mm</t>
  </si>
  <si>
    <t>Aitanauha BWR9 DeLaval</t>
  </si>
  <si>
    <t>Aitanauha Basic 40 mm</t>
  </si>
  <si>
    <t>Aitanauha W40 DeLaval</t>
  </si>
  <si>
    <t>Aitanauha Star Plus 12,5 mm</t>
  </si>
  <si>
    <t>Aitanauha TopLine Plus 20 mm</t>
  </si>
  <si>
    <t>Painekyllästetty aitatolppa 40x1800 mm</t>
  </si>
  <si>
    <t>Painekyllästetty aitatolppa 50x1500 mm</t>
  </si>
  <si>
    <t>Painekyllästetty aitatolppa 50x1800 mm</t>
  </si>
  <si>
    <t>Painekyllästetty aitatolppa 60x1800 mm</t>
  </si>
  <si>
    <t>Painekyllästetty aitatolppa 70x1800 mm</t>
  </si>
  <si>
    <t>Lasikuitutolppa Oval, 110 cm</t>
  </si>
  <si>
    <t>Muovitolppa Eco, 105 cm</t>
  </si>
  <si>
    <t>Muovitolppa Premium, 105 cm</t>
  </si>
  <si>
    <t>Muovitolppa TTP10 DeLaval, 102 cm</t>
  </si>
  <si>
    <t>Painekyllästetty aitatolppa High Tensil -eristimillä</t>
  </si>
  <si>
    <t>Keskiarvojen perusteella</t>
  </si>
  <si>
    <t>Valitse "Ei paimenta", jos aita ei vaadi erillistä sähköpaimenta (esim. verkkoaita)</t>
  </si>
  <si>
    <t>High Tensil -langalle puutolppa eristimillä (ensimmäinen rivi), verkkoaidalle puutolpat, aitalangalle ja -nauhalle muovi- tai lasikuitutolpat.</t>
  </si>
  <si>
    <t>Aitatarvikkeiden kustannukset jaetaan koko sopimusajalle</t>
  </si>
  <si>
    <t>Alueen aitatarvikkeiden kustannukset</t>
  </si>
  <si>
    <t>Kohteen aitaamiskustannukset yhteensä (sis. tarvikkeet ja työn)</t>
  </si>
  <si>
    <t>Hinnat ovat alv 0 %</t>
  </si>
  <si>
    <t>Sähköpaimen keskihintainen</t>
  </si>
  <si>
    <t>Sähköpaimen kallis</t>
  </si>
  <si>
    <t>Sähköpaimen edullinen</t>
  </si>
  <si>
    <t>Akkupaimen + akku edullinen</t>
  </si>
  <si>
    <t>Paimentyyppi</t>
  </si>
  <si>
    <t>Akkupaimen + akku keskihintainen</t>
  </si>
  <si>
    <t>Akkupaimen + akku kallis</t>
  </si>
  <si>
    <t>Hinnat eri kauppojen keskihintoja</t>
  </si>
  <si>
    <t>Työtehoseuran urakointihinnasto</t>
  </si>
  <si>
    <t>Rehun hinta</t>
  </si>
  <si>
    <t>e/kg ka</t>
  </si>
  <si>
    <t>Lampaan kuiva-aineen syöntikyky on noin 3 % elopainosta, noin 80 kg painoisia eläimiä.</t>
  </si>
  <si>
    <t>kg ka/päivä</t>
  </si>
  <si>
    <t>1 km = 1000 m, aidan pituuden saa laskettua esimerkiksi kartasta tai ilmakuvasta.</t>
  </si>
  <si>
    <t>Valitun laiduntyypin ohjeellinen kantokyky</t>
  </si>
  <si>
    <t>Kivennäisten syönti</t>
  </si>
  <si>
    <t>e/eläin/päivä</t>
  </si>
  <si>
    <t>Hoitokustannukset yhteensä</t>
  </si>
  <si>
    <t>.-Aitatyyppi</t>
  </si>
  <si>
    <t>.-Tarvittava aidan pituus</t>
  </si>
  <si>
    <t>.-Aidan hinta</t>
  </si>
  <si>
    <t>.-Tolppatyyppi</t>
  </si>
  <si>
    <t>.-Tolppaväli</t>
  </si>
  <si>
    <t>.-Tarvittava tolppien määrä</t>
  </si>
  <si>
    <t>.-Tolpan hinta</t>
  </si>
  <si>
    <t>.-Paimen ja aitaustarvikkeet sähköaitaan</t>
  </si>
  <si>
    <t>.-Paimenen hinta</t>
  </si>
  <si>
    <t>MAISEMANHOITOKOHTEEN PERUSTIEDOT</t>
  </si>
  <si>
    <t>AITAAMINEN</t>
  </si>
  <si>
    <t>.-Kuljetukseen käytettävän kärryn koko</t>
  </si>
  <si>
    <t>.-Eläinten viemiseen tarvittava kuormamäärä</t>
  </si>
  <si>
    <t>.-Eläinten tuomiseen tarvittava kuormamäärä</t>
  </si>
  <si>
    <t>TUOTOT</t>
  </si>
  <si>
    <t>ELÄINTEN VALVONTA JA HOITO</t>
  </si>
  <si>
    <t>ALUEEN HOITOKUSTANNUKSET</t>
  </si>
  <si>
    <t>uuhta</t>
  </si>
  <si>
    <t>Alueen kantokyky (uuhta)</t>
  </si>
  <si>
    <t>Laidunpankista</t>
  </si>
  <si>
    <t>Alueen kantokyvyn arvot uuhille on laskettu siten, että 2,5 karitsaa vastaa yhtä uuhta</t>
  </si>
  <si>
    <t>Eläinten päivittäiseen valvontaan kuluva aika (myös matka-aika)</t>
  </si>
  <si>
    <t>Arviona voi käyttää esim. 8 h/vuosi</t>
  </si>
  <si>
    <t>Kivennäiset ja suola</t>
  </si>
  <si>
    <t>Noin 0,5 e/kg ka, syönti noin 0,04 kg ka/päivä</t>
  </si>
  <si>
    <t>Yleisarvio 50 e/ha/vuosi (todellisuudessa vaihtelee 0-100 euron välillä)</t>
  </si>
  <si>
    <t>Eläinten valvonnan ja hoidon kustannukset yhteensä</t>
  </si>
  <si>
    <t>.-Peruskunnostus raivaussahalla 1. vuonna</t>
  </si>
  <si>
    <t>.-Raivausjätteen korjaus/kasaus 1. vuonna</t>
  </si>
  <si>
    <t>.-Raivausjätteen poiskuljetus 1. vuonna</t>
  </si>
  <si>
    <t>Säästö eläinten rehukuluissa laidunkaudella</t>
  </si>
  <si>
    <t>Säilörehun arvo noin 0,12 e/kg ka (0,04 e/kg)</t>
  </si>
  <si>
    <t>Yhden eläimen päivässä syömä kuiva-aineen määrä on noin 3 % elopainosta. Rehun hinta noin 0,12 e/kg ka</t>
  </si>
  <si>
    <t>VUOSITTAISET KUSTANNUKSET YHTEENSÄ</t>
  </si>
  <si>
    <t>EROTUS</t>
  </si>
  <si>
    <t>VUOSITTAISET TUOTOT YHTEENSÄ</t>
  </si>
  <si>
    <t>.-Eläinten lastaamiseen ja kuljettamiseen kuluva aika</t>
  </si>
  <si>
    <t xml:space="preserve">.- Joka sisältää omaa työtä (á 16 e/h), poislukien vuosittainen niitto </t>
  </si>
  <si>
    <t>.-Heinän niitto raivaussahalla vaikeakulkuisella alueella</t>
  </si>
  <si>
    <t>.-Heinän niitto traktorilla avoimella alueella</t>
  </si>
  <si>
    <t>Traktorityö/kaivurityö kuljettajineen (urakointihinta)</t>
  </si>
  <si>
    <t>Todellisuudessa tolppia kannattaa hankkia noin 10 % laskennallista tarvetta enemmän.</t>
  </si>
  <si>
    <t>Painekyllästetty aitatolppa 100x2000 mm</t>
  </si>
  <si>
    <t>Painekyllästetty aitatolppa 75x2100 mm</t>
  </si>
  <si>
    <t>Painekyllästetty aitatolppa 60x2100 mm</t>
  </si>
  <si>
    <t xml:space="preserve">Sisältää valvontakustannukset sekä veden, suolan ja kivennäiset. </t>
  </si>
  <si>
    <t>Näitä muuttamalla laskelman arvoja voidaan tarvittaessa päivittää</t>
  </si>
  <si>
    <t>Käytetty Laidunpankin arvioita perinnebiotoopeille soveltuvista laidunnuspaineista ja sovellettu arvot pelkille uuhille.</t>
  </si>
  <si>
    <t>Alueen vuosittaisen hoidon kustannukset</t>
  </si>
  <si>
    <t>High Tensil -lanka, aitalanka ja aitanauha on laskettu kolmella langalla.</t>
  </si>
  <si>
    <t>Kaikki aitaamiskustannukset jaettuna koko sopimuskaudelle.</t>
  </si>
  <si>
    <t>Oletetaan, että eläimet syövät laitumelle syntyneet niittojätteet. Muussa tapauksessa ne on kerättävä pois (lisää kustannuksia).</t>
  </si>
  <si>
    <t>Merkitse 0, jos aidan tekoon ei tarvita koneita. Arviolta kaivuri/traktori+kuski sekä yksi apuhenkilö saavat työpäivässä tehtyä kohtuullisessa maastossa noin 0,5 km verkkoaitaa.</t>
  </si>
  <si>
    <t>Huomioi, että kesän ajan laiduntaneet eläimet tarvitsevat enemmän tilaa</t>
  </si>
  <si>
    <t>Sisältää alkukunnostamisen ja vuosittaisen hoidon.</t>
  </si>
  <si>
    <t>Kustannusten perusteena käytetty Laidunpankin arvoja.</t>
  </si>
  <si>
    <t>Tausta-arvoja, linkittyvät kaavoihin</t>
  </si>
  <si>
    <t>Muut tuet ja korvaukset</t>
  </si>
  <si>
    <t>Eläimistä saatava vuokra</t>
  </si>
  <si>
    <t>Esimerkiksi tilan ulkopuolinen maisemalaidun. Merkitse 0, jos eläimistä ei makseta vuokraa.</t>
  </si>
  <si>
    <t>LASKURI MAISEMAKOHTEIDEN LAIDUNTAMISEEN LAMPAILLA</t>
  </si>
  <si>
    <t>ELÄINTEN KULJETTAMINEN</t>
  </si>
  <si>
    <t>Laidunnuksen lopetuspäivä</t>
  </si>
  <si>
    <t>Laidunnuksen aloituspäivä</t>
  </si>
  <si>
    <t>pp.kk.vvvv</t>
  </si>
  <si>
    <t>Aidan vuosittainen ylläpito</t>
  </si>
  <si>
    <t>Aidan perustaminen</t>
  </si>
  <si>
    <t>h</t>
  </si>
  <si>
    <t>.-Kokooma-aitauksen tekeminen ja eläinten kerääminen aitaukseen</t>
  </si>
  <si>
    <t>Perustamisvuonna aidan tekoon kuluvat työtunnit (erityisesti verkkoaita ja High Tensil -aita). Ota huomioon kaikkien aidan teossa tarvittaen henkilöiden työtunnit. Alueen raivaus- ja hoitotöiden kustannukset otetaan huomioon alempana.</t>
  </si>
  <si>
    <t>Vuosittaiseen ylläpitoon kuluvat työtunnit. Sähköaidan tapauksessa tähän kirjataan vuosittain rakentamiseen, huoltoon ja purkamiseen kuluva aika. Sähköaidan raivaustyöt otetaan huomioon alempana.</t>
  </si>
  <si>
    <t>Kustannus 421 e/ha. Tämä sisältää myös aidan tekemistä varten tehtävän raivauksen.</t>
  </si>
  <si>
    <t>Kustannus 19,60 e/ha/työkerta, 2 työkertaa/vuosi. Tämä sisältää myös sähköaidan aidanalusien niiton.</t>
  </si>
  <si>
    <t>Esimerkiksi, jos kyseessä on kohde, jonka laiduntamisen myötä saadaan muitakin tukia tai sponsorituloja. Merkitse 0, jos muita tukia tai korvauksia ei saada.</t>
  </si>
  <si>
    <t>Tarvikkeiden kustannukset yhteensä</t>
  </si>
  <si>
    <t>Aidan perustamisen konetyötunnit (sis. kuskin)</t>
  </si>
  <si>
    <t>Sopiva väli on yleensä noin 3 metriä.</t>
  </si>
  <si>
    <t>Noin 0,02 e/eläin/päivä, suolaa noin 20 g/päivä/eläin ja kivennäisiä noin 20 g/päivä/eläin.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</si>
</sst>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wrapText="1"/>
    </xf>
    <xf numFmtId="14" fontId="0" fillId="0" borderId="0" xfId="0" applyNumberFormat="1"/>
    <xf numFmtId="0" fontId="0" fillId="3" borderId="0" xfId="0" applyFill="1"/>
    <xf numFmtId="0" fontId="0" fillId="3" borderId="0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0" fillId="4" borderId="0" xfId="0" applyFill="1" applyBorder="1" applyProtection="1">
      <protection locked="0"/>
    </xf>
    <xf numFmtId="0" fontId="0" fillId="4" borderId="0" xfId="0" applyFill="1" applyProtection="1">
      <protection locked="0"/>
    </xf>
    <xf numFmtId="0" fontId="1" fillId="4" borderId="0" xfId="0" applyFont="1" applyFill="1" applyProtection="1"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0" fillId="2" borderId="0" xfId="0" applyFill="1" applyBorder="1" applyAlignment="1" applyProtection="1">
      <alignment vertical="top"/>
      <protection locked="0"/>
    </xf>
    <xf numFmtId="0" fontId="0" fillId="4" borderId="0" xfId="0" applyFont="1" applyFill="1" applyProtection="1">
      <protection locked="0"/>
    </xf>
    <xf numFmtId="0" fontId="0" fillId="2" borderId="0" xfId="0" applyFont="1" applyFill="1" applyBorder="1" applyAlignment="1" applyProtection="1">
      <alignment vertical="top"/>
      <protection locked="0"/>
    </xf>
    <xf numFmtId="0" fontId="0" fillId="2" borderId="8" xfId="0" applyFont="1" applyFill="1" applyBorder="1" applyAlignment="1" applyProtection="1">
      <alignment vertical="top"/>
      <protection locked="0"/>
    </xf>
    <xf numFmtId="14" fontId="0" fillId="2" borderId="3" xfId="0" applyNumberFormat="1" applyFill="1" applyBorder="1" applyAlignment="1" applyProtection="1">
      <alignment horizontal="right" vertical="top"/>
      <protection locked="0"/>
    </xf>
    <xf numFmtId="14" fontId="0" fillId="2" borderId="0" xfId="0" applyNumberFormat="1" applyFill="1" applyBorder="1" applyAlignment="1" applyProtection="1">
      <alignment horizontal="right" vertical="top"/>
      <protection locked="0"/>
    </xf>
    <xf numFmtId="0" fontId="0" fillId="4" borderId="0" xfId="0" applyFill="1" applyBorder="1" applyProtection="1"/>
    <xf numFmtId="0" fontId="2" fillId="4" borderId="0" xfId="0" applyFont="1" applyFill="1" applyAlignment="1" applyProtection="1">
      <alignment vertical="top"/>
    </xf>
    <xf numFmtId="0" fontId="0" fillId="4" borderId="0" xfId="0" applyFill="1" applyProtection="1"/>
    <xf numFmtId="0" fontId="1" fillId="4" borderId="0" xfId="0" applyFont="1" applyFill="1" applyProtection="1"/>
    <xf numFmtId="0" fontId="0" fillId="0" borderId="2" xfId="0" applyFill="1" applyBorder="1" applyAlignment="1" applyProtection="1">
      <alignment vertical="top"/>
    </xf>
    <xf numFmtId="0" fontId="0" fillId="0" borderId="5" xfId="0" applyFill="1" applyBorder="1" applyAlignment="1" applyProtection="1">
      <alignment vertical="top"/>
    </xf>
    <xf numFmtId="0" fontId="0" fillId="4" borderId="0" xfId="0" applyFont="1" applyFill="1" applyProtection="1"/>
    <xf numFmtId="0" fontId="0" fillId="0" borderId="7" xfId="0" applyFill="1" applyBorder="1" applyAlignment="1" applyProtection="1">
      <alignment vertical="top"/>
    </xf>
    <xf numFmtId="0" fontId="0" fillId="4" borderId="0" xfId="0" applyFill="1" applyAlignment="1" applyProtection="1">
      <alignment vertical="top"/>
    </xf>
    <xf numFmtId="0" fontId="1" fillId="4" borderId="0" xfId="0" applyFont="1" applyFill="1" applyAlignment="1" applyProtection="1">
      <alignment vertical="top"/>
    </xf>
    <xf numFmtId="0" fontId="0" fillId="0" borderId="2" xfId="0" applyFont="1" applyFill="1" applyBorder="1" applyAlignment="1" applyProtection="1">
      <alignment vertical="top"/>
    </xf>
    <xf numFmtId="0" fontId="0" fillId="0" borderId="5" xfId="0" applyFill="1" applyBorder="1" applyAlignment="1" applyProtection="1">
      <alignment horizontal="left" vertical="top"/>
    </xf>
    <xf numFmtId="0" fontId="1" fillId="0" borderId="7" xfId="0" applyFont="1" applyFill="1" applyBorder="1" applyAlignment="1" applyProtection="1">
      <alignment vertical="top"/>
    </xf>
    <xf numFmtId="0" fontId="0" fillId="0" borderId="5" xfId="0" applyFont="1" applyFill="1" applyBorder="1" applyAlignment="1" applyProtection="1">
      <alignment vertical="top"/>
    </xf>
    <xf numFmtId="0" fontId="0" fillId="4" borderId="0" xfId="0" applyFont="1" applyFill="1" applyAlignment="1" applyProtection="1">
      <alignment vertical="top"/>
    </xf>
    <xf numFmtId="0" fontId="1" fillId="3" borderId="7" xfId="0" applyFont="1" applyFill="1" applyBorder="1" applyAlignment="1" applyProtection="1">
      <alignment vertical="top"/>
    </xf>
    <xf numFmtId="0" fontId="1" fillId="2" borderId="0" xfId="0" applyFont="1" applyFill="1" applyAlignment="1" applyProtection="1">
      <alignment vertical="top"/>
    </xf>
    <xf numFmtId="2" fontId="0" fillId="0" borderId="8" xfId="0" applyNumberFormat="1" applyFill="1" applyBorder="1" applyAlignment="1" applyProtection="1">
      <alignment vertical="top"/>
    </xf>
    <xf numFmtId="0" fontId="0" fillId="0" borderId="9" xfId="0" applyFill="1" applyBorder="1" applyAlignment="1" applyProtection="1">
      <alignment vertical="top"/>
    </xf>
    <xf numFmtId="0" fontId="0" fillId="0" borderId="12" xfId="0" applyFill="1" applyBorder="1" applyAlignment="1" applyProtection="1">
      <alignment vertical="top" wrapText="1"/>
    </xf>
    <xf numFmtId="2" fontId="0" fillId="0" borderId="3" xfId="0" applyNumberFormat="1" applyFill="1" applyBorder="1" applyAlignment="1" applyProtection="1">
      <alignment vertical="top"/>
    </xf>
    <xf numFmtId="0" fontId="0" fillId="0" borderId="4" xfId="0" applyFill="1" applyBorder="1" applyAlignment="1" applyProtection="1">
      <alignment vertical="top"/>
    </xf>
    <xf numFmtId="0" fontId="0" fillId="0" borderId="10" xfId="0" applyFill="1" applyBorder="1" applyAlignment="1" applyProtection="1">
      <alignment vertical="top" wrapText="1"/>
    </xf>
    <xf numFmtId="2" fontId="0" fillId="0" borderId="0" xfId="0" applyNumberFormat="1" applyFill="1" applyBorder="1" applyAlignment="1" applyProtection="1">
      <alignment vertical="top"/>
    </xf>
    <xf numFmtId="0" fontId="0" fillId="0" borderId="6" xfId="0" applyFill="1" applyBorder="1" applyAlignment="1" applyProtection="1">
      <alignment vertical="top"/>
    </xf>
    <xf numFmtId="0" fontId="0" fillId="0" borderId="11" xfId="0" applyFill="1" applyBorder="1" applyAlignment="1" applyProtection="1">
      <alignment vertical="top" wrapText="1"/>
    </xf>
    <xf numFmtId="2" fontId="1" fillId="3" borderId="8" xfId="0" applyNumberFormat="1" applyFont="1" applyFill="1" applyBorder="1" applyAlignment="1" applyProtection="1">
      <alignment vertical="top"/>
    </xf>
    <xf numFmtId="0" fontId="1" fillId="3" borderId="9" xfId="0" applyFont="1" applyFill="1" applyBorder="1" applyAlignment="1" applyProtection="1">
      <alignment vertical="top"/>
    </xf>
    <xf numFmtId="0" fontId="1" fillId="0" borderId="9" xfId="0" applyFont="1" applyFill="1" applyBorder="1" applyAlignment="1" applyProtection="1">
      <alignment vertical="top"/>
    </xf>
    <xf numFmtId="0" fontId="0" fillId="0" borderId="11" xfId="0" applyFill="1" applyBorder="1" applyAlignment="1" applyProtection="1">
      <alignment vertical="top"/>
    </xf>
    <xf numFmtId="0" fontId="0" fillId="0" borderId="0" xfId="0" applyFont="1" applyFill="1" applyBorder="1" applyAlignment="1" applyProtection="1">
      <alignment vertical="top"/>
    </xf>
    <xf numFmtId="1" fontId="0" fillId="0" borderId="0" xfId="0" applyNumberFormat="1" applyFont="1" applyFill="1" applyBorder="1" applyAlignment="1" applyProtection="1">
      <alignment vertical="top"/>
    </xf>
    <xf numFmtId="0" fontId="0" fillId="0" borderId="3" xfId="0" applyFill="1" applyBorder="1" applyAlignment="1" applyProtection="1">
      <alignment vertical="top"/>
    </xf>
    <xf numFmtId="1" fontId="0" fillId="0" borderId="0" xfId="0" applyNumberFormat="1" applyFill="1" applyBorder="1" applyAlignment="1" applyProtection="1">
      <alignment vertical="top"/>
    </xf>
    <xf numFmtId="0" fontId="0" fillId="0" borderId="0" xfId="0" applyFill="1" applyBorder="1" applyAlignment="1" applyProtection="1">
      <alignment vertical="top"/>
    </xf>
    <xf numFmtId="2" fontId="1" fillId="0" borderId="8" xfId="0" applyNumberFormat="1" applyFont="1" applyFill="1" applyBorder="1" applyAlignment="1" applyProtection="1">
      <alignment vertical="top"/>
    </xf>
  </cellXfs>
  <cellStyles count="1">
    <cellStyle name="Normaali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472440</xdr:colOff>
      <xdr:row>0</xdr:row>
      <xdr:rowOff>45720</xdr:rowOff>
    </xdr:from>
    <xdr:to>
      <xdr:col>1</xdr:col>
      <xdr:colOff>1785983</xdr:colOff>
      <xdr:row>11</xdr:row>
      <xdr:rowOff>53340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D36A5AD8-B9F0-45A1-A3FE-F6FC7548C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440" y="228600"/>
          <a:ext cx="1923143" cy="2019300"/>
        </a:xfrm>
        <a:prstGeom prst="rect">
          <a:avLst/>
        </a:prstGeom>
      </xdr:spPr>
    </xdr:pic>
    <xdr:clientData/>
  </xdr:twoCellAnchor>
  <xdr:twoCellAnchor editAs="oneCell">
    <xdr:from>
      <xdr:col>1</xdr:col>
      <xdr:colOff>1866900</xdr:colOff>
      <xdr:row>3</xdr:row>
      <xdr:rowOff>38100</xdr:rowOff>
    </xdr:from>
    <xdr:to>
      <xdr:col>2</xdr:col>
      <xdr:colOff>1687385</xdr:colOff>
      <xdr:row>7</xdr:row>
      <xdr:rowOff>77623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1132D482-82BA-4692-A958-3FC7B1EDC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0" y="769620"/>
          <a:ext cx="3760025" cy="771043"/>
        </a:xfrm>
        <a:prstGeom prst="rect">
          <a:avLst/>
        </a:prstGeom>
      </xdr:spPr>
    </xdr:pic>
    <xdr:clientData/>
  </xdr:twoCellAnchor>
  <xdr:twoCellAnchor editAs="oneCell">
    <xdr:from>
      <xdr:col>3</xdr:col>
      <xdr:colOff>7620</xdr:colOff>
      <xdr:row>1</xdr:row>
      <xdr:rowOff>144780</xdr:rowOff>
    </xdr:from>
    <xdr:to>
      <xdr:col>4</xdr:col>
      <xdr:colOff>1171366</xdr:colOff>
      <xdr:row>7</xdr:row>
      <xdr:rowOff>161732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4B6BE737-0E48-4C2B-8364-32F246608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18960" y="510540"/>
          <a:ext cx="2642026" cy="1114232"/>
        </a:xfrm>
        <a:prstGeom prst="rect">
          <a:avLst/>
        </a:prstGeom>
      </xdr:spPr>
    </xdr:pic>
    <xdr:clientData/>
  </xdr:twoCellAnchor>
  <xdr:twoCellAnchor editAs="oneCell">
    <xdr:from>
      <xdr:col>4</xdr:col>
      <xdr:colOff>1882140</xdr:colOff>
      <xdr:row>3</xdr:row>
      <xdr:rowOff>30480</xdr:rowOff>
    </xdr:from>
    <xdr:to>
      <xdr:col>4</xdr:col>
      <xdr:colOff>4892040</xdr:colOff>
      <xdr:row>5</xdr:row>
      <xdr:rowOff>136271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ABC30DD-B541-4A40-8952-C1E9C62A2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71760" y="579120"/>
          <a:ext cx="3009900" cy="471551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96</xdr:row>
      <xdr:rowOff>0</xdr:rowOff>
    </xdr:from>
    <xdr:ext cx="8221980" cy="3364639"/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0BA4163F-FF43-448A-ABE7-825F4A38DF48}"/>
            </a:ext>
          </a:extLst>
        </xdr:cNvPr>
        <xdr:cNvSpPr txBox="1"/>
      </xdr:nvSpPr>
      <xdr:spPr>
        <a:xfrm>
          <a:off x="609600" y="20185380"/>
          <a:ext cx="8221980" cy="3364639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 b="1"/>
            <a:t>Laskurin</a:t>
          </a:r>
          <a:r>
            <a:rPr lang="fi-FI" sz="1100" b="1" baseline="0"/>
            <a:t> käyttöön liittyviä huomioita</a:t>
          </a:r>
        </a:p>
        <a:p>
          <a:r>
            <a:rPr lang="fi-FI" sz="1100" b="0" baseline="0"/>
            <a:t>- Tuntipalkkana on käytetty 16 e/h. </a:t>
          </a:r>
        </a:p>
        <a:p>
          <a:r>
            <a:rPr lang="fi-FI" sz="1100" b="0" baseline="0"/>
            <a:t>- Kilometrikorvauksena henkilöautolle on käytetty 0,43 e/km ja henkilöautolle peräkärryn kanssa 0,5 e/km (valtion matkustusohjesääntö).</a:t>
          </a:r>
        </a:p>
        <a:p>
          <a:r>
            <a:rPr lang="fi-FI" sz="1100" b="0" baseline="0"/>
            <a:t>- Laskurissa on vertailun vuoksi mukana myös viljelty laidun.</a:t>
          </a:r>
        </a:p>
        <a:p>
          <a:r>
            <a:rPr lang="fi-FI" sz="1100" b="0" baseline="0"/>
            <a:t>- Laskurissa ei ole huomioitu portteja. Porttien hinnat ja määrä vaikuttavat kustannuksiin.</a:t>
          </a:r>
        </a:p>
        <a:p>
          <a:r>
            <a:rPr lang="fi-FI" sz="1100" b="0" baseline="0"/>
            <a:t>- Aitaamiskustannuksissa ei ole otettu huomioon tarvittavia nauloja/sinkilöitä tai muita tarvikkeita.</a:t>
          </a:r>
        </a:p>
        <a:p>
          <a:r>
            <a:rPr lang="fi-FI" sz="1100" b="0" baseline="0"/>
            <a:t>- Sähköaitaan tarvitaan varoituskylttejä.</a:t>
          </a:r>
        </a:p>
        <a:p>
          <a:r>
            <a:rPr lang="fi-FI" sz="1100" b="0" baseline="0"/>
            <a:t>- Laitumen aitaan on syytä kiinnittää lampurin yhteystiedot.</a:t>
          </a:r>
        </a:p>
        <a:p>
          <a:r>
            <a:rPr lang="fi-FI" sz="1100" b="0" baseline="0"/>
            <a:t>- Jos tila on luomuvalvonnassa, pitää myös maisemanhoitoalue muistaa hakea luomuvalvontaan.</a:t>
          </a:r>
        </a:p>
        <a:p>
          <a:endParaRPr lang="fi-FI" sz="1100" b="0" baseline="0"/>
        </a:p>
        <a:p>
          <a:r>
            <a:rPr lang="fi-FI" sz="1100" b="1" baseline="0"/>
            <a:t>Lähteitä</a:t>
          </a:r>
        </a:p>
        <a:p>
          <a:r>
            <a:rPr lang="fi-FI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fi-F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http://www.mavi.fi/fi/oppaat-ja-lomakkeet/viljelija/Documents/Ymp%C3%A4rist%C3%B6tuen%20neuvonnalliset%20oppaat/Laidunnus.pdf</a:t>
          </a:r>
        </a:p>
        <a:p>
          <a:r>
            <a:rPr lang="fi-F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fi-FI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http://www.lammaswiki.fi/doku.php?id=lammaswiki:lammas_maisemalaiduntajana</a:t>
          </a:r>
          <a:endParaRPr lang="fi-FI"/>
        </a:p>
        <a:p>
          <a:r>
            <a:rPr lang="fi-FI" u="none">
              <a:solidFill>
                <a:sysClr val="windowText" lastClr="000000"/>
              </a:solidFill>
            </a:rPr>
            <a:t>- https://www.laidunpankki.fi/</a:t>
          </a:r>
        </a:p>
        <a:p>
          <a:endParaRPr lang="fi-FI" u="none">
            <a:solidFill>
              <a:sysClr val="windowText" lastClr="000000"/>
            </a:solidFill>
          </a:endParaRPr>
        </a:p>
        <a:p>
          <a:endParaRPr lang="fi-FI" u="none">
            <a:solidFill>
              <a:sysClr val="windowText" lastClr="000000"/>
            </a:solidFill>
          </a:endParaRPr>
        </a:p>
        <a:p>
          <a:r>
            <a:rPr lang="fi-FI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Laskuri on tuotettu ProAgria Etelä-Pohjanmaan hallinnoimassa UHMA (Uhanalainen maaseudun luonto yhteistyöllä) -hankkeessa 2019.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Laskurista</a:t>
          </a:r>
          <a:r>
            <a:rPr lang="fi-FI" sz="110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saatavat tulokset ovat suuntaa-antavia. Pyydä tarkemmat laskelmat esimerkiksi ProAgrian asiantuntijalta.</a:t>
          </a:r>
          <a:endParaRPr lang="fi-FI">
            <a:effectLst/>
          </a:endParaRPr>
        </a:p>
        <a:p>
          <a:endParaRPr lang="fi-FI" sz="1100" b="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FCF3D6-E280-4534-B56F-131392AF3387}" name="Taulukko1" displayName="Taulukko1" ref="A3:B21" totalsRowShown="0" headerRowDxfId="2">
  <autoFilter ref="A3:B21" xr:uid="{0A92BDC2-C784-4F85-ABDA-AA712E6B12E9}"/>
  <tableColumns count="2">
    <tableColumn id="1" xr3:uid="{3A2C8880-167C-4E9B-BF78-9C8E856B6187}" name="Aitatyyppi"/>
    <tableColumn id="2" xr3:uid="{5DBE98F1-36B1-4F7E-B35E-FA3DDEA9BE7C}" name="e/m (ei alv)">
      <calculatedColumnFormula>C4/1.24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0B6C0B-95B1-4084-8687-213756E12565}" name="Taulukko2" displayName="Taulukko2" ref="A3:D16" totalsRowShown="0" headerRowDxfId="1">
  <autoFilter ref="A3:D16" xr:uid="{0C6EEA9A-8A5A-4F57-8EB6-EF316BF5252E}"/>
  <tableColumns count="4">
    <tableColumn id="1" xr3:uid="{2547FAF4-FCC4-4295-A4D5-582B321B5605}" name="Tolppatyyppi"/>
    <tableColumn id="2" xr3:uid="{62BB12C1-DB35-4370-B87D-A5AAF4E2F000}" name="e/kpl (ei alv)">
      <calculatedColumnFormula>C4/1.24</calculatedColumnFormula>
    </tableColumn>
    <tableColumn id="3" xr3:uid="{D4F12F01-A579-4E68-81DE-3FE7A6EE2935}" name="e/kpl (sis. Alv)"/>
    <tableColumn id="4" xr3:uid="{28E60987-F8D5-4D90-A67A-E444D833554A}" name="Myyjä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2380BCD-4E4C-4304-BC20-46EDC7E7A4BA}" name="Taulukko3" displayName="Taulukko3" ref="A3:C10" totalsRowShown="0" headerRowDxfId="0">
  <autoFilter ref="A3:C10" xr:uid="{827DEB27-0B79-4101-91DB-A2BD335D6083}"/>
  <tableColumns count="3">
    <tableColumn id="1" xr3:uid="{F648B129-F318-4636-940E-76638186F0A5}" name="Paimentyyppi"/>
    <tableColumn id="2" xr3:uid="{F005C5B6-13B1-43E6-A677-F1E0C94EE5D0}" name="e/kpl (ei alv)">
      <calculatedColumnFormula>C4/1.24</calculatedColumnFormula>
    </tableColumn>
    <tableColumn id="3" xr3:uid="{A08BDC3D-4EC6-43B9-AA30-773631887B98}" name="e/kpl (sis. Alv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B79BB-E263-479E-90EE-D68E466D5FE2}">
  <dimension ref="A1:G115"/>
  <sheetViews>
    <sheetView tabSelected="1" topLeftCell="A8" zoomScaleNormal="100" workbookViewId="0">
      <selection activeCell="C20" sqref="C20"/>
    </sheetView>
  </sheetViews>
  <sheetFormatPr defaultColWidth="8.85546875" defaultRowHeight="15" x14ac:dyDescent="0.25"/>
  <cols>
    <col min="1" max="1" width="8.85546875" style="10"/>
    <col min="2" max="2" width="57.42578125" style="10" customWidth="1"/>
    <col min="3" max="3" width="34.42578125" style="10" bestFit="1" customWidth="1"/>
    <col min="4" max="4" width="21.5703125" style="10" bestFit="1" customWidth="1"/>
    <col min="5" max="5" width="73.85546875" style="10" customWidth="1"/>
    <col min="6" max="16384" width="8.85546875" style="10"/>
  </cols>
  <sheetData>
    <row r="1" spans="1:6" x14ac:dyDescent="0.25">
      <c r="A1" s="21"/>
      <c r="B1" s="21"/>
      <c r="C1" s="21"/>
      <c r="D1" s="21"/>
      <c r="E1" s="21"/>
      <c r="F1" s="21"/>
    </row>
    <row r="2" spans="1:6" x14ac:dyDescent="0.25">
      <c r="A2" s="21"/>
      <c r="B2" s="21"/>
      <c r="C2" s="21"/>
      <c r="D2" s="21"/>
      <c r="E2" s="21"/>
      <c r="F2" s="21"/>
    </row>
    <row r="3" spans="1:6" x14ac:dyDescent="0.25">
      <c r="A3" s="21"/>
      <c r="B3" s="21"/>
      <c r="C3" s="21"/>
      <c r="D3" s="21"/>
      <c r="E3" s="21"/>
      <c r="F3" s="21"/>
    </row>
    <row r="4" spans="1:6" x14ac:dyDescent="0.25">
      <c r="A4" s="21"/>
      <c r="B4" s="21"/>
      <c r="C4" s="21"/>
      <c r="D4" s="21"/>
      <c r="E4" s="21"/>
      <c r="F4" s="21"/>
    </row>
    <row r="5" spans="1:6" x14ac:dyDescent="0.25">
      <c r="A5" s="21"/>
      <c r="B5" s="21"/>
      <c r="C5" s="21"/>
      <c r="D5" s="21"/>
      <c r="E5" s="21"/>
      <c r="F5" s="21"/>
    </row>
    <row r="6" spans="1:6" x14ac:dyDescent="0.25">
      <c r="A6" s="21"/>
      <c r="B6" s="21"/>
      <c r="C6" s="21"/>
      <c r="D6" s="21"/>
      <c r="E6" s="21"/>
      <c r="F6" s="21"/>
    </row>
    <row r="7" spans="1:6" x14ac:dyDescent="0.25">
      <c r="A7" s="21"/>
      <c r="B7" s="21"/>
      <c r="C7" s="21"/>
      <c r="D7" s="21"/>
      <c r="E7" s="21"/>
      <c r="F7" s="21"/>
    </row>
    <row r="8" spans="1:6" x14ac:dyDescent="0.25">
      <c r="A8" s="21"/>
      <c r="B8" s="21"/>
      <c r="C8" s="21"/>
      <c r="D8" s="21"/>
      <c r="E8" s="21"/>
      <c r="F8" s="21"/>
    </row>
    <row r="9" spans="1:6" s="9" customFormat="1" x14ac:dyDescent="0.25">
      <c r="A9" s="19"/>
      <c r="B9" s="19"/>
      <c r="C9" s="19"/>
      <c r="D9" s="19"/>
      <c r="E9" s="19"/>
      <c r="F9" s="19"/>
    </row>
    <row r="10" spans="1:6" s="9" customFormat="1" x14ac:dyDescent="0.25">
      <c r="A10" s="19"/>
      <c r="B10" s="19"/>
      <c r="C10" s="19"/>
      <c r="D10" s="19"/>
      <c r="E10" s="19"/>
      <c r="F10" s="19"/>
    </row>
    <row r="11" spans="1:6" s="9" customFormat="1" x14ac:dyDescent="0.25">
      <c r="A11" s="19"/>
      <c r="B11" s="19"/>
      <c r="C11" s="19"/>
      <c r="D11" s="19"/>
      <c r="E11" s="19"/>
      <c r="F11" s="19"/>
    </row>
    <row r="12" spans="1:6" s="9" customFormat="1" x14ac:dyDescent="0.25">
      <c r="A12" s="19"/>
      <c r="B12" s="19"/>
      <c r="C12" s="19"/>
      <c r="D12" s="19"/>
      <c r="E12" s="19"/>
      <c r="F12" s="19"/>
    </row>
    <row r="13" spans="1:6" s="9" customFormat="1" x14ac:dyDescent="0.25">
      <c r="A13" s="19"/>
      <c r="B13" s="19"/>
      <c r="C13" s="19"/>
      <c r="D13" s="19"/>
      <c r="E13" s="19"/>
      <c r="F13" s="19"/>
    </row>
    <row r="14" spans="1:6" s="9" customFormat="1" ht="26.25" x14ac:dyDescent="0.25">
      <c r="A14" s="19"/>
      <c r="B14" s="20" t="s">
        <v>200</v>
      </c>
      <c r="C14" s="21"/>
      <c r="D14" s="19"/>
      <c r="E14" s="19"/>
      <c r="F14" s="19"/>
    </row>
    <row r="15" spans="1:6" s="9" customFormat="1" x14ac:dyDescent="0.25">
      <c r="A15" s="19"/>
      <c r="B15" s="21"/>
      <c r="C15" s="35" t="s">
        <v>34</v>
      </c>
      <c r="D15" s="19"/>
      <c r="E15" s="19"/>
      <c r="F15" s="19"/>
    </row>
    <row r="16" spans="1:6" x14ac:dyDescent="0.25">
      <c r="A16" s="21"/>
      <c r="B16" s="21"/>
      <c r="C16" s="21"/>
      <c r="D16" s="21"/>
      <c r="E16" s="21"/>
      <c r="F16" s="21"/>
    </row>
    <row r="17" spans="1:7" ht="15.75" thickBot="1" x14ac:dyDescent="0.3">
      <c r="A17" s="21"/>
      <c r="B17" s="22" t="s">
        <v>149</v>
      </c>
      <c r="C17" s="21"/>
      <c r="D17" s="21"/>
      <c r="E17" s="22" t="s">
        <v>28</v>
      </c>
      <c r="F17" s="21"/>
    </row>
    <row r="18" spans="1:7" x14ac:dyDescent="0.25">
      <c r="A18" s="21"/>
      <c r="B18" s="23" t="s">
        <v>4</v>
      </c>
      <c r="C18" s="12">
        <v>0</v>
      </c>
      <c r="D18" s="40" t="s">
        <v>0</v>
      </c>
      <c r="E18" s="41"/>
      <c r="F18" s="21"/>
      <c r="G18" s="21"/>
    </row>
    <row r="19" spans="1:7" x14ac:dyDescent="0.25">
      <c r="A19" s="21"/>
      <c r="B19" s="24" t="s">
        <v>5</v>
      </c>
      <c r="C19" s="13" t="s">
        <v>17</v>
      </c>
      <c r="D19" s="43" t="s">
        <v>25</v>
      </c>
      <c r="E19" s="44"/>
      <c r="F19" s="21"/>
      <c r="G19" s="21"/>
    </row>
    <row r="20" spans="1:7" s="14" customFormat="1" ht="30" x14ac:dyDescent="0.25">
      <c r="A20" s="25"/>
      <c r="B20" s="24" t="s">
        <v>136</v>
      </c>
      <c r="C20" s="49">
        <f>IF(C19=Laiduntyyppi!A4,Laiduntyyppi!B4,IF(C19=Laiduntyyppi!A5,Laiduntyyppi!B5,IF(C19=Laiduntyyppi!A6,Laiduntyyppi!B6,IF(C19=Laiduntyyppi!A7,Laiduntyyppi!B7,IF(C19=Laiduntyyppi!A8,Laiduntyyppi!B8,IF(C19=Laiduntyyppi!A9,Laiduntyyppi!B9))))))</f>
        <v>6</v>
      </c>
      <c r="D20" s="43" t="s">
        <v>157</v>
      </c>
      <c r="E20" s="44" t="s">
        <v>187</v>
      </c>
      <c r="F20" s="25"/>
      <c r="G20" s="25"/>
    </row>
    <row r="21" spans="1:7" s="14" customFormat="1" x14ac:dyDescent="0.25">
      <c r="A21" s="25"/>
      <c r="B21" s="24" t="s">
        <v>40</v>
      </c>
      <c r="C21" s="50">
        <f>C20*C18</f>
        <v>0</v>
      </c>
      <c r="D21" s="43" t="s">
        <v>6</v>
      </c>
      <c r="E21" s="44"/>
      <c r="F21" s="25"/>
      <c r="G21" s="25"/>
    </row>
    <row r="22" spans="1:7" s="14" customFormat="1" x14ac:dyDescent="0.25">
      <c r="A22" s="25"/>
      <c r="B22" s="24" t="s">
        <v>72</v>
      </c>
      <c r="C22" s="15">
        <v>0</v>
      </c>
      <c r="D22" s="43" t="s">
        <v>9</v>
      </c>
      <c r="E22" s="44"/>
      <c r="F22" s="25"/>
      <c r="G22" s="25"/>
    </row>
    <row r="23" spans="1:7" s="14" customFormat="1" x14ac:dyDescent="0.25">
      <c r="A23" s="25"/>
      <c r="B23" s="24" t="s">
        <v>22</v>
      </c>
      <c r="C23" s="15">
        <v>0</v>
      </c>
      <c r="D23" s="43" t="s">
        <v>51</v>
      </c>
      <c r="E23" s="44" t="s">
        <v>52</v>
      </c>
      <c r="F23" s="25"/>
      <c r="G23" s="25"/>
    </row>
    <row r="24" spans="1:7" s="14" customFormat="1" ht="15.75" thickBot="1" x14ac:dyDescent="0.3">
      <c r="A24" s="25"/>
      <c r="B24" s="26" t="s">
        <v>10</v>
      </c>
      <c r="C24" s="16">
        <v>0</v>
      </c>
      <c r="D24" s="37" t="s">
        <v>11</v>
      </c>
      <c r="E24" s="38"/>
      <c r="F24" s="25"/>
      <c r="G24" s="25"/>
    </row>
    <row r="25" spans="1:7" x14ac:dyDescent="0.25">
      <c r="A25" s="21"/>
      <c r="B25" s="27"/>
      <c r="C25" s="27"/>
      <c r="D25" s="21"/>
      <c r="E25" s="25"/>
      <c r="F25" s="21"/>
      <c r="G25" s="21"/>
    </row>
    <row r="26" spans="1:7" ht="15.75" thickBot="1" x14ac:dyDescent="0.3">
      <c r="A26" s="21"/>
      <c r="B26" s="28" t="s">
        <v>150</v>
      </c>
      <c r="C26" s="27"/>
      <c r="D26" s="21"/>
      <c r="E26" s="25"/>
      <c r="F26" s="21"/>
      <c r="G26" s="21"/>
    </row>
    <row r="27" spans="1:7" x14ac:dyDescent="0.25">
      <c r="A27" s="21"/>
      <c r="B27" s="29" t="s">
        <v>119</v>
      </c>
      <c r="C27" s="51"/>
      <c r="D27" s="40"/>
      <c r="E27" s="41" t="s">
        <v>121</v>
      </c>
      <c r="F27" s="21"/>
      <c r="G27" s="21"/>
    </row>
    <row r="28" spans="1:7" x14ac:dyDescent="0.25">
      <c r="A28" s="21"/>
      <c r="B28" s="30" t="s">
        <v>140</v>
      </c>
      <c r="C28" s="13" t="s">
        <v>84</v>
      </c>
      <c r="D28" s="43" t="s">
        <v>24</v>
      </c>
      <c r="E28" s="44" t="s">
        <v>189</v>
      </c>
      <c r="F28" s="21"/>
      <c r="G28" s="21"/>
    </row>
    <row r="29" spans="1:7" x14ac:dyDescent="0.25">
      <c r="A29" s="21"/>
      <c r="B29" s="30" t="s">
        <v>141</v>
      </c>
      <c r="C29" s="13">
        <v>0</v>
      </c>
      <c r="D29" s="43" t="s">
        <v>12</v>
      </c>
      <c r="E29" s="44" t="s">
        <v>135</v>
      </c>
      <c r="F29" s="21"/>
      <c r="G29" s="21"/>
    </row>
    <row r="30" spans="1:7" x14ac:dyDescent="0.25">
      <c r="A30" s="21"/>
      <c r="B30" s="30" t="s">
        <v>142</v>
      </c>
      <c r="C30" s="42">
        <f>IF(C28=Aitatyyppi!A4,Aitatyyppi!B4,IF(C28=Aitatyyppi!A5,Aitatyyppi!B5,IF(C28=Aitatyyppi!A6,Aitatyyppi!B6,IF(C28=Aitatyyppi!A7,Aitatyyppi!B7,IF(C28=Aitatyyppi!A8,Aitatyyppi!B8,IF(C28=Aitatyyppi!A9,Aitatyyppi!B9,IF(C28=Aitatyyppi!A10,Aitatyyppi!B10,IF(C28=Aitatyyppi!A11,Aitatyyppi!B11,IF(C28=Aitatyyppi!A12,Aitatyyppi!B12,IF(C28=Aitatyyppi!A13,Aitatyyppi!B13,IF(C28=Aitatyyppi!A14,Aitatyyppi!B14,IF(C28=Aitatyyppi!A15,Aitatyyppi!B15,IF(C28=Aitatyyppi!A16,Aitatyyppi!B16,IF(C28=Aitatyyppi!A17,Aitatyyppi!B17,IF(C28=Aitatyyppi!A18,Aitatyyppi!B18,IF(C28=Aitatyyppi!A19,Aitatyyppi!B19,IF(C28=Aitatyyppi!A20,Aitatyyppi!B20,IF(C28=Aitatyyppi!A21,Aitatyyppi!B21))))))))))))))))))</f>
        <v>1.1129032258064515</v>
      </c>
      <c r="D30" s="43" t="s">
        <v>73</v>
      </c>
      <c r="E30" s="44"/>
      <c r="F30" s="21"/>
      <c r="G30" s="21"/>
    </row>
    <row r="31" spans="1:7" ht="30" x14ac:dyDescent="0.25">
      <c r="A31" s="21"/>
      <c r="B31" s="30" t="s">
        <v>143</v>
      </c>
      <c r="C31" s="13" t="s">
        <v>183</v>
      </c>
      <c r="D31" s="43" t="s">
        <v>24</v>
      </c>
      <c r="E31" s="44" t="s">
        <v>117</v>
      </c>
      <c r="F31" s="21"/>
      <c r="G31" s="21"/>
    </row>
    <row r="32" spans="1:7" x14ac:dyDescent="0.25">
      <c r="A32" s="21"/>
      <c r="B32" s="30" t="s">
        <v>144</v>
      </c>
      <c r="C32" s="13">
        <v>0</v>
      </c>
      <c r="D32" s="43" t="s">
        <v>12</v>
      </c>
      <c r="E32" s="44" t="s">
        <v>216</v>
      </c>
      <c r="F32" s="21"/>
      <c r="G32" s="21"/>
    </row>
    <row r="33" spans="1:7" ht="30" x14ac:dyDescent="0.25">
      <c r="A33" s="21"/>
      <c r="B33" s="30" t="s">
        <v>145</v>
      </c>
      <c r="C33" s="52" t="e">
        <f>C29/C32</f>
        <v>#DIV/0!</v>
      </c>
      <c r="D33" s="43" t="s">
        <v>6</v>
      </c>
      <c r="E33" s="44" t="s">
        <v>181</v>
      </c>
      <c r="F33" s="21"/>
      <c r="G33" s="21"/>
    </row>
    <row r="34" spans="1:7" x14ac:dyDescent="0.25">
      <c r="A34" s="21"/>
      <c r="B34" s="30" t="s">
        <v>146</v>
      </c>
      <c r="C34" s="42">
        <f>IF(C31=Tolppatyyppi!A4,Tolppatyyppi!B4,IF(C31=Tolppatyyppi!A5,Tolppatyyppi!B5,IF(C31=Tolppatyyppi!A6,Tolppatyyppi!B6,IF(C31=Tolppatyyppi!A7,Tolppatyyppi!B7,IF(C31=Tolppatyyppi!A8,Tolppatyyppi!B8,IF(C31=Tolppatyyppi!A9,Tolppatyyppi!B9,IF(C31=Tolppatyyppi!A10,Tolppatyyppi!B10,IF(C31=Tolppatyyppi!A11,Tolppatyyppi!B11,IF(C31=Tolppatyyppi!A12,Tolppatyyppi!B12,IF(C31=Tolppatyyppi!A13,Tolppatyyppi!B13,IF(C31=Tolppatyyppi!A14,Tolppatyyppi!B14,IF(C31=Tolppatyyppi!A15,Tolppatyyppi!B15,IF(C31=Tolppatyyppi!A16,Tolppatyyppi!B16)))))))))))))</f>
        <v>3.508064516129032</v>
      </c>
      <c r="D34" s="43" t="s">
        <v>30</v>
      </c>
      <c r="E34" s="44"/>
      <c r="F34" s="21"/>
      <c r="G34" s="21"/>
    </row>
    <row r="35" spans="1:7" ht="30" x14ac:dyDescent="0.25">
      <c r="A35" s="21"/>
      <c r="B35" s="30" t="s">
        <v>147</v>
      </c>
      <c r="C35" s="13" t="s">
        <v>92</v>
      </c>
      <c r="D35" s="43" t="s">
        <v>24</v>
      </c>
      <c r="E35" s="44" t="s">
        <v>116</v>
      </c>
      <c r="F35" s="21"/>
      <c r="G35" s="21"/>
    </row>
    <row r="36" spans="1:7" x14ac:dyDescent="0.25">
      <c r="A36" s="21"/>
      <c r="B36" s="30" t="s">
        <v>148</v>
      </c>
      <c r="C36" s="53">
        <f>IF(C35=Paimentyyppi!A4,Paimentyyppi!B4,IF(C35=Paimentyyppi!A5,Paimentyyppi!B5,IF(C35=Paimentyyppi!A6,Paimentyyppi!B6,IF(C35=Paimentyyppi!A7,Paimentyyppi!B7,IF(C35=Paimentyyppi!A8,Paimentyyppi!B8,IF(C35=Paimentyyppi!A9,Paimentyyppi!B9,IF(C35=Paimentyyppi!A10,Paimentyyppi!B10)))))))</f>
        <v>0</v>
      </c>
      <c r="D36" s="43" t="s">
        <v>30</v>
      </c>
      <c r="E36" s="44"/>
      <c r="F36" s="21"/>
      <c r="G36" s="21"/>
    </row>
    <row r="37" spans="1:7" x14ac:dyDescent="0.25">
      <c r="A37" s="21"/>
      <c r="B37" s="24" t="s">
        <v>214</v>
      </c>
      <c r="C37" s="42" t="e">
        <f>(C29*C30+C33*C34+C36)/C24</f>
        <v>#DIV/0!</v>
      </c>
      <c r="D37" s="43" t="s">
        <v>31</v>
      </c>
      <c r="E37" s="44" t="s">
        <v>118</v>
      </c>
      <c r="F37" s="21"/>
      <c r="G37" s="21"/>
    </row>
    <row r="38" spans="1:7" x14ac:dyDescent="0.25">
      <c r="A38" s="21"/>
      <c r="B38" s="24"/>
      <c r="C38" s="53"/>
      <c r="D38" s="43"/>
      <c r="E38" s="44"/>
      <c r="F38" s="21"/>
      <c r="G38" s="21"/>
    </row>
    <row r="39" spans="1:7" ht="60" x14ac:dyDescent="0.25">
      <c r="A39" s="21"/>
      <c r="B39" s="24" t="s">
        <v>206</v>
      </c>
      <c r="C39" s="13">
        <v>0</v>
      </c>
      <c r="D39" s="43" t="s">
        <v>207</v>
      </c>
      <c r="E39" s="44" t="s">
        <v>209</v>
      </c>
      <c r="F39" s="21"/>
      <c r="G39" s="21"/>
    </row>
    <row r="40" spans="1:7" ht="45" x14ac:dyDescent="0.25">
      <c r="A40" s="21"/>
      <c r="B40" s="24" t="s">
        <v>215</v>
      </c>
      <c r="C40" s="13">
        <v>0</v>
      </c>
      <c r="D40" s="43" t="s">
        <v>207</v>
      </c>
      <c r="E40" s="44" t="s">
        <v>192</v>
      </c>
      <c r="F40" s="21"/>
      <c r="G40" s="21"/>
    </row>
    <row r="41" spans="1:7" ht="45" x14ac:dyDescent="0.25">
      <c r="A41" s="21"/>
      <c r="B41" s="24" t="s">
        <v>205</v>
      </c>
      <c r="C41" s="13">
        <v>0</v>
      </c>
      <c r="D41" s="43" t="s">
        <v>27</v>
      </c>
      <c r="E41" s="44" t="s">
        <v>210</v>
      </c>
      <c r="F41" s="21"/>
      <c r="G41" s="21"/>
    </row>
    <row r="42" spans="1:7" x14ac:dyDescent="0.25">
      <c r="A42" s="21"/>
      <c r="B42" s="24"/>
      <c r="C42" s="53"/>
      <c r="D42" s="43"/>
      <c r="E42" s="44"/>
      <c r="F42" s="21"/>
      <c r="G42" s="21"/>
    </row>
    <row r="43" spans="1:7" s="11" customFormat="1" ht="15.75" thickBot="1" x14ac:dyDescent="0.3">
      <c r="A43" s="22"/>
      <c r="B43" s="31" t="s">
        <v>120</v>
      </c>
      <c r="C43" s="54" t="e">
        <f>C37+C41*'Tausta-arvot'!B4+C40*'Tausta-arvot'!B7/C24+C39*'Tausta-arvot'!B4/Lammaslaskuri!C24</f>
        <v>#DIV/0!</v>
      </c>
      <c r="D43" s="47" t="s">
        <v>31</v>
      </c>
      <c r="E43" s="38" t="s">
        <v>190</v>
      </c>
      <c r="F43" s="22"/>
      <c r="G43" s="22"/>
    </row>
    <row r="44" spans="1:7" x14ac:dyDescent="0.25">
      <c r="A44" s="21"/>
      <c r="B44" s="28"/>
      <c r="C44" s="27"/>
      <c r="D44" s="21"/>
      <c r="E44" s="25"/>
      <c r="F44" s="21"/>
      <c r="G44" s="21"/>
    </row>
    <row r="45" spans="1:7" ht="15.75" thickBot="1" x14ac:dyDescent="0.3">
      <c r="A45" s="21"/>
      <c r="B45" s="28" t="s">
        <v>155</v>
      </c>
      <c r="C45" s="27"/>
      <c r="D45" s="21"/>
      <c r="E45" s="25"/>
      <c r="F45" s="21"/>
      <c r="G45" s="21"/>
    </row>
    <row r="46" spans="1:7" x14ac:dyDescent="0.25">
      <c r="A46" s="21"/>
      <c r="B46" s="23" t="s">
        <v>203</v>
      </c>
      <c r="C46" s="17">
        <v>43466</v>
      </c>
      <c r="D46" s="40" t="s">
        <v>204</v>
      </c>
      <c r="E46" s="41"/>
      <c r="F46" s="21"/>
      <c r="G46" s="21"/>
    </row>
    <row r="47" spans="1:7" x14ac:dyDescent="0.25">
      <c r="A47" s="21"/>
      <c r="B47" s="24" t="s">
        <v>202</v>
      </c>
      <c r="C47" s="18">
        <v>43467</v>
      </c>
      <c r="D47" s="43" t="s">
        <v>204</v>
      </c>
      <c r="E47" s="44"/>
      <c r="F47" s="21"/>
      <c r="G47" s="21"/>
    </row>
    <row r="48" spans="1:7" x14ac:dyDescent="0.25">
      <c r="A48" s="21"/>
      <c r="B48" s="24" t="s">
        <v>8</v>
      </c>
      <c r="C48" s="53">
        <f>C47-C46</f>
        <v>1</v>
      </c>
      <c r="D48" s="43" t="s">
        <v>7</v>
      </c>
      <c r="E48" s="44"/>
      <c r="F48" s="21"/>
      <c r="G48" s="21"/>
    </row>
    <row r="49" spans="1:7" x14ac:dyDescent="0.25">
      <c r="A49" s="21"/>
      <c r="B49" s="24" t="s">
        <v>161</v>
      </c>
      <c r="C49" s="13">
        <v>0</v>
      </c>
      <c r="D49" s="43" t="s">
        <v>26</v>
      </c>
      <c r="E49" s="44"/>
      <c r="F49" s="21"/>
      <c r="G49" s="21"/>
    </row>
    <row r="50" spans="1:7" x14ac:dyDescent="0.25">
      <c r="A50" s="21"/>
      <c r="B50" s="24" t="s">
        <v>46</v>
      </c>
      <c r="C50" s="13">
        <v>0</v>
      </c>
      <c r="D50" s="43" t="s">
        <v>27</v>
      </c>
      <c r="E50" s="44" t="s">
        <v>162</v>
      </c>
      <c r="F50" s="21"/>
      <c r="G50" s="21"/>
    </row>
    <row r="51" spans="1:7" x14ac:dyDescent="0.25">
      <c r="A51" s="21"/>
      <c r="B51" s="24" t="s">
        <v>47</v>
      </c>
      <c r="C51" s="53">
        <f>'Tausta-arvot'!B8*C18</f>
        <v>0</v>
      </c>
      <c r="D51" s="43" t="s">
        <v>31</v>
      </c>
      <c r="E51" s="44" t="s">
        <v>165</v>
      </c>
      <c r="F51" s="21"/>
      <c r="G51" s="21"/>
    </row>
    <row r="52" spans="1:7" x14ac:dyDescent="0.25">
      <c r="A52" s="21"/>
      <c r="B52" s="24" t="s">
        <v>163</v>
      </c>
      <c r="C52" s="42">
        <f>'Tausta-arvot'!B18*C21*C48</f>
        <v>0</v>
      </c>
      <c r="D52" s="43" t="s">
        <v>67</v>
      </c>
      <c r="E52" s="48" t="s">
        <v>217</v>
      </c>
      <c r="F52" s="21"/>
      <c r="G52" s="21"/>
    </row>
    <row r="53" spans="1:7" x14ac:dyDescent="0.25">
      <c r="A53" s="21"/>
      <c r="B53" s="24"/>
      <c r="C53" s="53"/>
      <c r="D53" s="43"/>
      <c r="E53" s="44"/>
      <c r="F53" s="21"/>
      <c r="G53" s="21"/>
    </row>
    <row r="54" spans="1:7" s="11" customFormat="1" ht="15.75" thickBot="1" x14ac:dyDescent="0.3">
      <c r="A54" s="22"/>
      <c r="B54" s="31" t="s">
        <v>166</v>
      </c>
      <c r="C54" s="54">
        <f>C22*2*C48*'Tausta-arvot'!B5+C49*'Tausta-arvot'!B4*C48+C50*'Tausta-arvot'!B4+C51+C52</f>
        <v>0</v>
      </c>
      <c r="D54" s="47" t="s">
        <v>31</v>
      </c>
      <c r="E54" s="38" t="s">
        <v>185</v>
      </c>
      <c r="F54" s="22"/>
      <c r="G54" s="22"/>
    </row>
    <row r="55" spans="1:7" x14ac:dyDescent="0.25">
      <c r="A55" s="21"/>
      <c r="B55" s="27"/>
      <c r="C55" s="27"/>
      <c r="D55" s="21"/>
      <c r="E55" s="25"/>
      <c r="F55" s="21"/>
      <c r="G55" s="21"/>
    </row>
    <row r="56" spans="1:7" ht="15.75" thickBot="1" x14ac:dyDescent="0.3">
      <c r="A56" s="21"/>
      <c r="B56" s="28" t="s">
        <v>201</v>
      </c>
      <c r="C56" s="27"/>
      <c r="D56" s="21"/>
      <c r="E56" s="25"/>
      <c r="F56" s="21"/>
      <c r="G56" s="21"/>
    </row>
    <row r="57" spans="1:7" x14ac:dyDescent="0.25">
      <c r="A57" s="21"/>
      <c r="B57" s="29" t="s">
        <v>42</v>
      </c>
      <c r="C57" s="51"/>
      <c r="D57" s="40"/>
      <c r="E57" s="41"/>
      <c r="F57" s="21"/>
      <c r="G57" s="21"/>
    </row>
    <row r="58" spans="1:7" x14ac:dyDescent="0.25">
      <c r="A58" s="21"/>
      <c r="B58" s="24" t="s">
        <v>176</v>
      </c>
      <c r="C58" s="13">
        <v>0</v>
      </c>
      <c r="D58" s="43" t="s">
        <v>66</v>
      </c>
      <c r="E58" s="44" t="s">
        <v>43</v>
      </c>
      <c r="F58" s="21"/>
      <c r="G58" s="21"/>
    </row>
    <row r="59" spans="1:7" x14ac:dyDescent="0.25">
      <c r="A59" s="21"/>
      <c r="B59" s="24" t="s">
        <v>151</v>
      </c>
      <c r="C59" s="13">
        <v>0</v>
      </c>
      <c r="D59" s="43" t="s">
        <v>14</v>
      </c>
      <c r="E59" s="44"/>
      <c r="F59" s="21"/>
      <c r="G59" s="21"/>
    </row>
    <row r="60" spans="1:7" x14ac:dyDescent="0.25">
      <c r="A60" s="21"/>
      <c r="B60" s="24" t="s">
        <v>152</v>
      </c>
      <c r="C60" s="52" t="e">
        <f>C21/C59</f>
        <v>#DIV/0!</v>
      </c>
      <c r="D60" s="43" t="s">
        <v>23</v>
      </c>
      <c r="E60" s="44"/>
      <c r="F60" s="21"/>
      <c r="G60" s="21"/>
    </row>
    <row r="61" spans="1:7" x14ac:dyDescent="0.25">
      <c r="A61" s="21"/>
      <c r="B61" s="24"/>
      <c r="C61" s="53"/>
      <c r="D61" s="43"/>
      <c r="E61" s="44"/>
      <c r="F61" s="21"/>
      <c r="G61" s="21"/>
    </row>
    <row r="62" spans="1:7" x14ac:dyDescent="0.25">
      <c r="A62" s="21"/>
      <c r="B62" s="32" t="s">
        <v>39</v>
      </c>
      <c r="C62" s="53"/>
      <c r="D62" s="43"/>
      <c r="E62" s="44"/>
      <c r="F62" s="21"/>
      <c r="G62" s="21"/>
    </row>
    <row r="63" spans="1:7" x14ac:dyDescent="0.25">
      <c r="A63" s="21"/>
      <c r="B63" s="32" t="s">
        <v>208</v>
      </c>
      <c r="C63" s="13">
        <v>0</v>
      </c>
      <c r="D63" s="43" t="s">
        <v>27</v>
      </c>
      <c r="E63" s="44" t="s">
        <v>35</v>
      </c>
      <c r="F63" s="21"/>
      <c r="G63" s="21"/>
    </row>
    <row r="64" spans="1:7" x14ac:dyDescent="0.25">
      <c r="A64" s="21"/>
      <c r="B64" s="32" t="s">
        <v>176</v>
      </c>
      <c r="C64" s="13">
        <v>0</v>
      </c>
      <c r="D64" s="43" t="s">
        <v>66</v>
      </c>
      <c r="E64" s="44" t="s">
        <v>43</v>
      </c>
      <c r="F64" s="21"/>
      <c r="G64" s="21"/>
    </row>
    <row r="65" spans="1:7" x14ac:dyDescent="0.25">
      <c r="A65" s="21"/>
      <c r="B65" s="32" t="s">
        <v>151</v>
      </c>
      <c r="C65" s="13">
        <v>0</v>
      </c>
      <c r="D65" s="43" t="s">
        <v>14</v>
      </c>
      <c r="E65" s="44" t="s">
        <v>193</v>
      </c>
      <c r="F65" s="21"/>
      <c r="G65" s="21"/>
    </row>
    <row r="66" spans="1:7" x14ac:dyDescent="0.25">
      <c r="A66" s="21"/>
      <c r="B66" s="32" t="s">
        <v>153</v>
      </c>
      <c r="C66" s="52" t="e">
        <f>C21/C65</f>
        <v>#DIV/0!</v>
      </c>
      <c r="D66" s="43" t="s">
        <v>23</v>
      </c>
      <c r="E66" s="44"/>
      <c r="F66" s="21"/>
      <c r="G66" s="21"/>
    </row>
    <row r="67" spans="1:7" x14ac:dyDescent="0.25">
      <c r="A67" s="21"/>
      <c r="B67" s="24"/>
      <c r="C67" s="53"/>
      <c r="D67" s="43"/>
      <c r="E67" s="44"/>
      <c r="F67" s="21"/>
      <c r="G67" s="21"/>
    </row>
    <row r="68" spans="1:7" s="11" customFormat="1" ht="15.75" thickBot="1" x14ac:dyDescent="0.3">
      <c r="A68" s="22"/>
      <c r="B68" s="31" t="s">
        <v>41</v>
      </c>
      <c r="C68" s="54" t="e">
        <f>(C58*C60+C64*C66+C63)*'Tausta-arvot'!B4+(C60+C66)*2*C22*'Tausta-arvot'!B6</f>
        <v>#DIV/0!</v>
      </c>
      <c r="D68" s="47" t="s">
        <v>31</v>
      </c>
      <c r="E68" s="38"/>
      <c r="F68" s="22"/>
      <c r="G68" s="22"/>
    </row>
    <row r="69" spans="1:7" x14ac:dyDescent="0.25">
      <c r="A69" s="21"/>
      <c r="B69" s="33"/>
      <c r="C69" s="27"/>
      <c r="D69" s="21"/>
      <c r="E69" s="25"/>
      <c r="F69" s="21"/>
      <c r="G69" s="21"/>
    </row>
    <row r="70" spans="1:7" ht="15.75" thickBot="1" x14ac:dyDescent="0.3">
      <c r="A70" s="21"/>
      <c r="B70" s="28" t="s">
        <v>156</v>
      </c>
      <c r="C70" s="27"/>
      <c r="D70" s="21"/>
      <c r="E70" s="25"/>
      <c r="F70" s="21"/>
      <c r="G70" s="21"/>
    </row>
    <row r="71" spans="1:7" x14ac:dyDescent="0.25">
      <c r="A71" s="21"/>
      <c r="B71" s="29" t="s">
        <v>54</v>
      </c>
      <c r="C71" s="51"/>
      <c r="D71" s="40"/>
      <c r="E71" s="41" t="s">
        <v>195</v>
      </c>
      <c r="F71" s="21"/>
      <c r="G71" s="21"/>
    </row>
    <row r="72" spans="1:7" ht="30" x14ac:dyDescent="0.25">
      <c r="A72" s="21"/>
      <c r="B72" s="24" t="s">
        <v>167</v>
      </c>
      <c r="C72" s="53">
        <f>'Tausta-arvot'!B9*C18</f>
        <v>0</v>
      </c>
      <c r="D72" s="43" t="s">
        <v>55</v>
      </c>
      <c r="E72" s="44" t="s">
        <v>211</v>
      </c>
      <c r="F72" s="21"/>
      <c r="G72" s="21"/>
    </row>
    <row r="73" spans="1:7" x14ac:dyDescent="0.25">
      <c r="A73" s="21"/>
      <c r="B73" s="24" t="s">
        <v>168</v>
      </c>
      <c r="C73" s="53">
        <f>'Tausta-arvot'!B10*C18</f>
        <v>0</v>
      </c>
      <c r="D73" s="43" t="s">
        <v>55</v>
      </c>
      <c r="E73" s="44" t="s">
        <v>61</v>
      </c>
      <c r="F73" s="21"/>
      <c r="G73" s="21"/>
    </row>
    <row r="74" spans="1:7" x14ac:dyDescent="0.25">
      <c r="A74" s="21"/>
      <c r="B74" s="24" t="s">
        <v>169</v>
      </c>
      <c r="C74" s="53">
        <f>'Tausta-arvot'!B11*C18</f>
        <v>0</v>
      </c>
      <c r="D74" s="43" t="s">
        <v>55</v>
      </c>
      <c r="E74" s="44" t="s">
        <v>62</v>
      </c>
      <c r="F74" s="21"/>
      <c r="G74" s="21"/>
    </row>
    <row r="75" spans="1:7" x14ac:dyDescent="0.25">
      <c r="A75" s="21"/>
      <c r="B75" s="24" t="s">
        <v>56</v>
      </c>
      <c r="C75" s="53">
        <f>SUM(C72:C74)</f>
        <v>0</v>
      </c>
      <c r="D75" s="43" t="s">
        <v>55</v>
      </c>
      <c r="E75" s="44"/>
      <c r="F75" s="21"/>
      <c r="G75" s="21"/>
    </row>
    <row r="76" spans="1:7" x14ac:dyDescent="0.25">
      <c r="A76" s="21"/>
      <c r="B76" s="24" t="s">
        <v>76</v>
      </c>
      <c r="C76" s="53" t="e">
        <f>C75/C24</f>
        <v>#DIV/0!</v>
      </c>
      <c r="D76" s="43" t="s">
        <v>31</v>
      </c>
      <c r="E76" s="44"/>
      <c r="F76" s="21"/>
      <c r="G76" s="21"/>
    </row>
    <row r="77" spans="1:7" x14ac:dyDescent="0.25">
      <c r="A77" s="21"/>
      <c r="B77" s="24"/>
      <c r="C77" s="53"/>
      <c r="D77" s="43"/>
      <c r="E77" s="44"/>
      <c r="F77" s="21"/>
      <c r="G77" s="21"/>
    </row>
    <row r="78" spans="1:7" ht="30" x14ac:dyDescent="0.25">
      <c r="A78" s="21"/>
      <c r="B78" s="24" t="s">
        <v>188</v>
      </c>
      <c r="C78" s="53"/>
      <c r="D78" s="43"/>
      <c r="E78" s="44" t="s">
        <v>191</v>
      </c>
      <c r="F78" s="21"/>
      <c r="G78" s="21"/>
    </row>
    <row r="79" spans="1:7" ht="30" x14ac:dyDescent="0.25">
      <c r="A79" s="21"/>
      <c r="B79" s="24" t="s">
        <v>178</v>
      </c>
      <c r="C79" s="42">
        <f>'Tausta-arvot'!B12*C18*'Tausta-arvot'!B14</f>
        <v>0</v>
      </c>
      <c r="D79" s="43" t="s">
        <v>31</v>
      </c>
      <c r="E79" s="44" t="s">
        <v>212</v>
      </c>
      <c r="F79" s="21"/>
      <c r="G79" s="21"/>
    </row>
    <row r="80" spans="1:7" x14ac:dyDescent="0.25">
      <c r="A80" s="21"/>
      <c r="B80" s="24" t="s">
        <v>179</v>
      </c>
      <c r="C80" s="53">
        <f>'Tausta-arvot'!B13*C18*'Tausta-arvot'!B14</f>
        <v>0</v>
      </c>
      <c r="D80" s="43" t="s">
        <v>31</v>
      </c>
      <c r="E80" s="44" t="s">
        <v>71</v>
      </c>
      <c r="F80" s="21"/>
      <c r="G80" s="21"/>
    </row>
    <row r="81" spans="1:7" x14ac:dyDescent="0.25">
      <c r="A81" s="21"/>
      <c r="B81" s="24"/>
      <c r="C81" s="53"/>
      <c r="D81" s="43"/>
      <c r="E81" s="44"/>
      <c r="F81" s="21"/>
      <c r="G81" s="21"/>
    </row>
    <row r="82" spans="1:7" s="11" customFormat="1" ht="15.75" thickBot="1" x14ac:dyDescent="0.3">
      <c r="A82" s="22"/>
      <c r="B82" s="31" t="s">
        <v>139</v>
      </c>
      <c r="C82" s="54" t="e">
        <f>C76+C79+C80</f>
        <v>#DIV/0!</v>
      </c>
      <c r="D82" s="47" t="s">
        <v>31</v>
      </c>
      <c r="E82" s="38" t="s">
        <v>194</v>
      </c>
      <c r="F82" s="22"/>
      <c r="G82" s="22"/>
    </row>
    <row r="83" spans="1:7" x14ac:dyDescent="0.25">
      <c r="A83" s="21"/>
      <c r="B83" s="28"/>
      <c r="C83" s="27"/>
      <c r="D83" s="21"/>
      <c r="E83" s="25"/>
      <c r="F83" s="21"/>
      <c r="G83" s="21"/>
    </row>
    <row r="84" spans="1:7" ht="15.75" thickBot="1" x14ac:dyDescent="0.3">
      <c r="A84" s="21"/>
      <c r="B84" s="28" t="s">
        <v>154</v>
      </c>
      <c r="C84" s="27"/>
      <c r="D84" s="21"/>
      <c r="E84" s="25"/>
      <c r="F84" s="21"/>
      <c r="G84" s="21"/>
    </row>
    <row r="85" spans="1:7" x14ac:dyDescent="0.25">
      <c r="A85" s="21"/>
      <c r="B85" s="23" t="s">
        <v>2</v>
      </c>
      <c r="C85" s="12">
        <v>0</v>
      </c>
      <c r="D85" s="40" t="s">
        <v>1</v>
      </c>
      <c r="E85" s="41" t="s">
        <v>75</v>
      </c>
      <c r="F85" s="21"/>
      <c r="G85" s="21"/>
    </row>
    <row r="86" spans="1:7" x14ac:dyDescent="0.25">
      <c r="A86" s="21"/>
      <c r="B86" s="24" t="s">
        <v>48</v>
      </c>
      <c r="C86" s="53">
        <f>C85*C18</f>
        <v>0</v>
      </c>
      <c r="D86" s="43" t="s">
        <v>31</v>
      </c>
      <c r="E86" s="44"/>
      <c r="F86" s="21"/>
      <c r="G86" s="21"/>
    </row>
    <row r="87" spans="1:7" ht="45" x14ac:dyDescent="0.25">
      <c r="A87" s="21"/>
      <c r="B87" s="24" t="s">
        <v>197</v>
      </c>
      <c r="C87" s="13">
        <v>0</v>
      </c>
      <c r="D87" s="43" t="s">
        <v>31</v>
      </c>
      <c r="E87" s="44" t="s">
        <v>213</v>
      </c>
      <c r="F87" s="21"/>
      <c r="G87" s="21"/>
    </row>
    <row r="88" spans="1:7" ht="30" x14ac:dyDescent="0.25">
      <c r="A88" s="21"/>
      <c r="B88" s="24" t="s">
        <v>198</v>
      </c>
      <c r="C88" s="13">
        <v>0</v>
      </c>
      <c r="D88" s="43" t="s">
        <v>31</v>
      </c>
      <c r="E88" s="44" t="s">
        <v>199</v>
      </c>
      <c r="F88" s="21"/>
      <c r="G88" s="21"/>
    </row>
    <row r="89" spans="1:7" ht="30.75" thickBot="1" x14ac:dyDescent="0.3">
      <c r="A89" s="21"/>
      <c r="B89" s="26" t="s">
        <v>170</v>
      </c>
      <c r="C89" s="36">
        <f>'Tausta-arvot'!B17*C48*C21</f>
        <v>0</v>
      </c>
      <c r="D89" s="37" t="s">
        <v>67</v>
      </c>
      <c r="E89" s="38" t="s">
        <v>172</v>
      </c>
      <c r="F89" s="21"/>
      <c r="G89" s="21"/>
    </row>
    <row r="90" spans="1:7" x14ac:dyDescent="0.25">
      <c r="A90" s="21"/>
      <c r="B90" s="33"/>
      <c r="C90" s="27"/>
      <c r="D90" s="21"/>
      <c r="E90" s="25"/>
      <c r="F90" s="21"/>
      <c r="G90" s="21"/>
    </row>
    <row r="91" spans="1:7" ht="15.75" thickBot="1" x14ac:dyDescent="0.3">
      <c r="A91" s="21"/>
      <c r="B91" s="33"/>
      <c r="C91" s="27"/>
      <c r="D91" s="21"/>
      <c r="E91" s="25"/>
      <c r="F91" s="21"/>
      <c r="G91" s="21"/>
    </row>
    <row r="92" spans="1:7" x14ac:dyDescent="0.25">
      <c r="A92" s="21"/>
      <c r="B92" s="29" t="s">
        <v>173</v>
      </c>
      <c r="C92" s="39" t="e">
        <f>C23*C18+C43+C54+C68+C82</f>
        <v>#DIV/0!</v>
      </c>
      <c r="D92" s="40" t="s">
        <v>31</v>
      </c>
      <c r="E92" s="41"/>
      <c r="F92" s="21"/>
      <c r="G92" s="21"/>
    </row>
    <row r="93" spans="1:7" x14ac:dyDescent="0.25">
      <c r="A93" s="21"/>
      <c r="B93" s="32" t="s">
        <v>177</v>
      </c>
      <c r="C93" s="42" t="e">
        <f>C41+C40/C24+C50+C49*C48+C58*C60+C63+C64*C66+C39/C24</f>
        <v>#DIV/0!</v>
      </c>
      <c r="D93" s="43" t="s">
        <v>27</v>
      </c>
      <c r="E93" s="44"/>
      <c r="F93" s="21"/>
      <c r="G93" s="21"/>
    </row>
    <row r="94" spans="1:7" x14ac:dyDescent="0.25">
      <c r="A94" s="21"/>
      <c r="B94" s="32" t="s">
        <v>175</v>
      </c>
      <c r="C94" s="42">
        <f>C86+C89+C87+C88</f>
        <v>0</v>
      </c>
      <c r="D94" s="43" t="s">
        <v>31</v>
      </c>
      <c r="E94" s="44"/>
      <c r="F94" s="21"/>
      <c r="G94" s="21"/>
    </row>
    <row r="95" spans="1:7" ht="15.75" thickBot="1" x14ac:dyDescent="0.3">
      <c r="A95" s="21"/>
      <c r="B95" s="34" t="s">
        <v>174</v>
      </c>
      <c r="C95" s="45" t="e">
        <f>C94-C92</f>
        <v>#DIV/0!</v>
      </c>
      <c r="D95" s="46" t="s">
        <v>31</v>
      </c>
      <c r="E95" s="38"/>
      <c r="F95" s="21"/>
      <c r="G95" s="21"/>
    </row>
    <row r="96" spans="1:7" x14ac:dyDescent="0.25">
      <c r="A96" s="21"/>
      <c r="B96" s="25"/>
      <c r="C96" s="21"/>
      <c r="D96" s="21"/>
      <c r="E96" s="25"/>
      <c r="F96" s="21"/>
      <c r="G96" s="21"/>
    </row>
    <row r="97" spans="1:7" x14ac:dyDescent="0.25">
      <c r="A97" s="21"/>
      <c r="B97" s="25"/>
      <c r="D97" s="21"/>
      <c r="E97" s="25"/>
      <c r="F97" s="21"/>
      <c r="G97" s="21"/>
    </row>
    <row r="98" spans="1:7" x14ac:dyDescent="0.25">
      <c r="A98" s="21"/>
      <c r="B98" s="22"/>
      <c r="D98" s="21"/>
      <c r="E98" s="25"/>
      <c r="F98" s="21"/>
      <c r="G98" s="21"/>
    </row>
    <row r="99" spans="1:7" x14ac:dyDescent="0.25">
      <c r="A99" s="21"/>
      <c r="B99" s="25"/>
      <c r="D99" s="21"/>
      <c r="E99" s="25"/>
      <c r="F99" s="21"/>
      <c r="G99" s="21"/>
    </row>
    <row r="100" spans="1:7" x14ac:dyDescent="0.25">
      <c r="A100" s="21"/>
      <c r="B100" s="25"/>
      <c r="D100" s="21"/>
      <c r="E100" s="25"/>
      <c r="F100" s="21"/>
      <c r="G100" s="21"/>
    </row>
    <row r="101" spans="1:7" x14ac:dyDescent="0.25">
      <c r="A101" s="21"/>
      <c r="B101" s="25"/>
      <c r="D101" s="21"/>
      <c r="E101" s="25"/>
      <c r="F101" s="21"/>
      <c r="G101" s="21"/>
    </row>
    <row r="102" spans="1:7" x14ac:dyDescent="0.25">
      <c r="A102" s="21"/>
      <c r="B102" s="22"/>
      <c r="D102" s="21"/>
      <c r="E102" s="25"/>
      <c r="F102" s="21"/>
      <c r="G102" s="21"/>
    </row>
    <row r="103" spans="1:7" x14ac:dyDescent="0.25">
      <c r="A103" s="21"/>
      <c r="B103" s="25"/>
      <c r="D103" s="21"/>
      <c r="E103" s="25"/>
      <c r="F103" s="21"/>
      <c r="G103" s="21"/>
    </row>
    <row r="104" spans="1:7" x14ac:dyDescent="0.25">
      <c r="A104" s="21"/>
      <c r="B104" s="25"/>
      <c r="D104" s="21"/>
      <c r="E104" s="25"/>
      <c r="F104" s="21"/>
      <c r="G104" s="21"/>
    </row>
    <row r="105" spans="1:7" x14ac:dyDescent="0.25">
      <c r="A105" s="21"/>
      <c r="B105" s="25"/>
      <c r="D105" s="21"/>
      <c r="E105" s="25"/>
      <c r="F105" s="21"/>
      <c r="G105" s="21"/>
    </row>
    <row r="106" spans="1:7" x14ac:dyDescent="0.25">
      <c r="A106" s="21"/>
      <c r="B106" s="21"/>
      <c r="D106" s="21"/>
      <c r="E106" s="21"/>
      <c r="F106" s="21"/>
      <c r="G106" s="21"/>
    </row>
    <row r="107" spans="1:7" x14ac:dyDescent="0.25">
      <c r="A107" s="21"/>
      <c r="B107" s="21"/>
      <c r="D107" s="21"/>
      <c r="E107" s="21"/>
      <c r="F107" s="21"/>
      <c r="G107" s="21"/>
    </row>
    <row r="108" spans="1:7" x14ac:dyDescent="0.25">
      <c r="A108" s="21"/>
      <c r="B108" s="21"/>
      <c r="D108" s="21"/>
      <c r="E108" s="21"/>
      <c r="F108" s="21"/>
      <c r="G108" s="21"/>
    </row>
    <row r="109" spans="1:7" x14ac:dyDescent="0.25">
      <c r="A109" s="21"/>
      <c r="B109" s="21"/>
      <c r="D109" s="21"/>
      <c r="E109" s="21"/>
      <c r="F109" s="21"/>
      <c r="G109" s="21"/>
    </row>
    <row r="110" spans="1:7" x14ac:dyDescent="0.25">
      <c r="A110" s="21"/>
      <c r="B110" s="21"/>
      <c r="D110" s="21"/>
      <c r="E110" s="21"/>
      <c r="F110" s="21"/>
      <c r="G110" s="21"/>
    </row>
    <row r="111" spans="1:7" x14ac:dyDescent="0.25">
      <c r="A111" s="21"/>
      <c r="B111" s="21"/>
      <c r="D111" s="21"/>
      <c r="E111" s="21"/>
      <c r="F111" s="21"/>
      <c r="G111" s="21"/>
    </row>
    <row r="112" spans="1:7" x14ac:dyDescent="0.25">
      <c r="A112" s="21"/>
      <c r="B112" s="21"/>
      <c r="D112" s="21"/>
      <c r="E112" s="21"/>
      <c r="F112" s="21"/>
      <c r="G112" s="21"/>
    </row>
    <row r="113" spans="1:6" x14ac:dyDescent="0.25">
      <c r="A113" s="21"/>
      <c r="B113" s="21"/>
      <c r="C113" s="21"/>
      <c r="D113" s="21"/>
      <c r="E113" s="21"/>
    </row>
    <row r="114" spans="1:6" x14ac:dyDescent="0.25">
      <c r="A114" s="21"/>
      <c r="B114" s="21"/>
      <c r="C114" s="21"/>
      <c r="D114" s="21"/>
      <c r="E114" s="21"/>
      <c r="F114" s="21"/>
    </row>
    <row r="115" spans="1:6" x14ac:dyDescent="0.25">
      <c r="A115" s="21"/>
      <c r="B115" s="21"/>
      <c r="C115" s="21"/>
      <c r="D115" s="21"/>
      <c r="E115" s="21"/>
    </row>
  </sheetData>
  <sheetProtection algorithmName="SHA-512" hashValue="nGz6hJA+WaLnOVB6IIkwqP4eD27c+q/VXz8HZbmp7E91H3BKeun9S4p9Zj6M58ffk3aD77gBH7bw9YijsTw1xQ==" saltValue="lb9Nb/xwZfJ8tFgz01vlLw==" spinCount="100000" sheet="1" objects="1" scenarios="1"/>
  <dataValidations count="1">
    <dataValidation type="list" allowBlank="1" showInputMessage="1" showErrorMessage="1" sqref="C19" xr:uid="{7363E532-9465-4D85-876F-FB17045B2740}">
      <formula1>Laiduntyyppi</formula1>
    </dataValidation>
  </dataValidations>
  <pageMargins left="0.7" right="0.7" top="0.75" bottom="0.75" header="0.3" footer="0.3"/>
  <pageSetup paperSize="9"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54EC5BC-933B-4508-B00E-41E3344AAF1B}">
          <x14:formula1>
            <xm:f>Aitatyyppi!$A$4:$A$21</xm:f>
          </x14:formula1>
          <xm:sqref>C28</xm:sqref>
        </x14:dataValidation>
        <x14:dataValidation type="list" allowBlank="1" showInputMessage="1" showErrorMessage="1" xr:uid="{43E5FE3B-45A2-4866-8EB6-C00F94ECE951}">
          <x14:formula1>
            <xm:f>Tolppatyyppi!$A$4:$A$16</xm:f>
          </x14:formula1>
          <xm:sqref>C31</xm:sqref>
        </x14:dataValidation>
        <x14:dataValidation type="list" allowBlank="1" showInputMessage="1" showErrorMessage="1" xr:uid="{BA964C4F-2B38-49D1-828D-E5045B0C33C1}">
          <x14:formula1>
            <xm:f>Paimentyyppi!$A$4:$A$10</xm:f>
          </x14:formula1>
          <xm:sqref>C35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AF53C-FA4F-4EFF-B7E4-98EDB90F5944}">
  <dimension ref="A3:D18"/>
  <sheetViews>
    <sheetView workbookViewId="0">
      <selection activeCell="A22" sqref="A22"/>
    </sheetView>
  </sheetViews>
  <sheetFormatPr defaultRowHeight="15" x14ac:dyDescent="0.25"/>
  <cols>
    <col min="1" max="1" width="45" bestFit="1" customWidth="1"/>
    <col min="2" max="2" width="6" bestFit="1" customWidth="1"/>
    <col min="3" max="3" width="12.42578125" bestFit="1" customWidth="1"/>
    <col min="4" max="4" width="77.7109375" bestFit="1" customWidth="1"/>
  </cols>
  <sheetData>
    <row r="3" spans="1:4" x14ac:dyDescent="0.25">
      <c r="A3" s="7" t="s">
        <v>196</v>
      </c>
      <c r="B3" s="8"/>
      <c r="C3" s="8"/>
      <c r="D3" s="8" t="s">
        <v>186</v>
      </c>
    </row>
    <row r="4" spans="1:4" x14ac:dyDescent="0.25">
      <c r="A4" s="5" t="s">
        <v>44</v>
      </c>
      <c r="B4" s="5">
        <v>16</v>
      </c>
      <c r="C4" s="5" t="s">
        <v>32</v>
      </c>
      <c r="D4" s="5"/>
    </row>
    <row r="5" spans="1:4" x14ac:dyDescent="0.25">
      <c r="A5" s="5" t="s">
        <v>37</v>
      </c>
      <c r="B5" s="5">
        <v>0.43</v>
      </c>
      <c r="C5" s="5" t="s">
        <v>33</v>
      </c>
      <c r="D5" s="5"/>
    </row>
    <row r="6" spans="1:4" x14ac:dyDescent="0.25">
      <c r="A6" s="5" t="s">
        <v>38</v>
      </c>
      <c r="B6" s="5">
        <v>0.5</v>
      </c>
      <c r="C6" s="5" t="s">
        <v>33</v>
      </c>
      <c r="D6" s="5" t="s">
        <v>45</v>
      </c>
    </row>
    <row r="7" spans="1:4" x14ac:dyDescent="0.25">
      <c r="A7" s="5" t="s">
        <v>180</v>
      </c>
      <c r="B7" s="5">
        <v>60</v>
      </c>
      <c r="C7" s="5" t="s">
        <v>32</v>
      </c>
      <c r="D7" s="5" t="s">
        <v>130</v>
      </c>
    </row>
    <row r="8" spans="1:4" x14ac:dyDescent="0.25">
      <c r="A8" s="5" t="s">
        <v>49</v>
      </c>
      <c r="B8" s="5">
        <v>50</v>
      </c>
      <c r="C8" s="5" t="s">
        <v>51</v>
      </c>
      <c r="D8" s="5" t="s">
        <v>50</v>
      </c>
    </row>
    <row r="9" spans="1:4" x14ac:dyDescent="0.25">
      <c r="A9" s="5" t="s">
        <v>53</v>
      </c>
      <c r="B9" s="5">
        <v>421</v>
      </c>
      <c r="C9" s="5" t="s">
        <v>1</v>
      </c>
      <c r="D9" s="5"/>
    </row>
    <row r="10" spans="1:4" x14ac:dyDescent="0.25">
      <c r="A10" s="5" t="s">
        <v>57</v>
      </c>
      <c r="B10" s="5">
        <v>211</v>
      </c>
      <c r="C10" s="5" t="s">
        <v>51</v>
      </c>
      <c r="D10" s="5"/>
    </row>
    <row r="11" spans="1:4" x14ac:dyDescent="0.25">
      <c r="A11" s="5" t="s">
        <v>58</v>
      </c>
      <c r="B11" s="5">
        <v>130</v>
      </c>
      <c r="C11" s="5" t="s">
        <v>51</v>
      </c>
      <c r="D11" s="5"/>
    </row>
    <row r="12" spans="1:4" x14ac:dyDescent="0.25">
      <c r="A12" s="5" t="s">
        <v>59</v>
      </c>
      <c r="B12" s="5">
        <v>19.600000000000001</v>
      </c>
      <c r="C12" s="5" t="s">
        <v>63</v>
      </c>
      <c r="D12" s="5"/>
    </row>
    <row r="13" spans="1:4" x14ac:dyDescent="0.25">
      <c r="A13" s="5" t="s">
        <v>60</v>
      </c>
      <c r="B13" s="5">
        <v>42</v>
      </c>
      <c r="C13" s="5" t="s">
        <v>63</v>
      </c>
      <c r="D13" s="5"/>
    </row>
    <row r="14" spans="1:4" x14ac:dyDescent="0.25">
      <c r="A14" s="6" t="s">
        <v>65</v>
      </c>
      <c r="B14" s="6">
        <v>2</v>
      </c>
      <c r="C14" s="6" t="s">
        <v>64</v>
      </c>
      <c r="D14" s="6"/>
    </row>
    <row r="15" spans="1:4" x14ac:dyDescent="0.25">
      <c r="A15" s="6" t="s">
        <v>68</v>
      </c>
      <c r="B15" s="6">
        <f>0.03*80</f>
        <v>2.4</v>
      </c>
      <c r="C15" s="6" t="s">
        <v>134</v>
      </c>
      <c r="D15" s="5" t="s">
        <v>133</v>
      </c>
    </row>
    <row r="16" spans="1:4" x14ac:dyDescent="0.25">
      <c r="A16" s="6" t="s">
        <v>131</v>
      </c>
      <c r="B16" s="6">
        <v>0.12</v>
      </c>
      <c r="C16" s="6" t="s">
        <v>132</v>
      </c>
      <c r="D16" s="6" t="s">
        <v>171</v>
      </c>
    </row>
    <row r="17" spans="1:4" x14ac:dyDescent="0.25">
      <c r="A17" s="6" t="s">
        <v>69</v>
      </c>
      <c r="B17" s="6">
        <f>B15*B16</f>
        <v>0.28799999999999998</v>
      </c>
      <c r="C17" s="6" t="s">
        <v>70</v>
      </c>
      <c r="D17" s="6"/>
    </row>
    <row r="18" spans="1:4" x14ac:dyDescent="0.25">
      <c r="A18" s="6" t="s">
        <v>137</v>
      </c>
      <c r="B18" s="6">
        <f>0.5*0.04</f>
        <v>0.02</v>
      </c>
      <c r="C18" s="6" t="s">
        <v>138</v>
      </c>
      <c r="D18" s="6" t="s">
        <v>164</v>
      </c>
    </row>
  </sheetData>
  <sheetProtection algorithmName="SHA-512" hashValue="djHHNSQd+HjlaXJcROj2HBzTtqqtXqa8MjxYwddTP37tYEog70ciFDr9YPjgieYolY4Jccy7BNjlmuc90bh9pA==" saltValue="dwVQwVPJjVepszrdnRYsd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7518A-9B53-4E70-AA41-3384277C4F7F}">
  <dimension ref="A1:F22"/>
  <sheetViews>
    <sheetView workbookViewId="0">
      <selection activeCell="A22" sqref="A22"/>
    </sheetView>
  </sheetViews>
  <sheetFormatPr defaultRowHeight="15" x14ac:dyDescent="0.25"/>
  <cols>
    <col min="1" max="1" width="21.28515625" bestFit="1" customWidth="1"/>
    <col min="2" max="2" width="17.5703125" bestFit="1" customWidth="1"/>
    <col min="3" max="3" width="17.42578125" customWidth="1"/>
    <col min="6" max="6" width="10.140625" bestFit="1" customWidth="1"/>
  </cols>
  <sheetData>
    <row r="1" spans="1:6" x14ac:dyDescent="0.25">
      <c r="A1" s="1" t="s">
        <v>36</v>
      </c>
    </row>
    <row r="3" spans="1:6" ht="45" x14ac:dyDescent="0.25">
      <c r="A3" s="1" t="s">
        <v>3</v>
      </c>
      <c r="B3" s="3" t="s">
        <v>158</v>
      </c>
      <c r="C3" s="3" t="s">
        <v>21</v>
      </c>
    </row>
    <row r="4" spans="1:6" x14ac:dyDescent="0.25">
      <c r="A4" s="2" t="s">
        <v>15</v>
      </c>
      <c r="B4">
        <f>C4*2</f>
        <v>3.4</v>
      </c>
      <c r="C4">
        <v>1.7</v>
      </c>
    </row>
    <row r="5" spans="1:6" x14ac:dyDescent="0.25">
      <c r="A5" t="s">
        <v>16</v>
      </c>
      <c r="B5">
        <f>C5*2</f>
        <v>4.4000000000000004</v>
      </c>
      <c r="C5">
        <v>2.2000000000000002</v>
      </c>
    </row>
    <row r="6" spans="1:6" x14ac:dyDescent="0.25">
      <c r="A6" t="s">
        <v>17</v>
      </c>
      <c r="B6">
        <f t="shared" ref="B6:B9" si="0">C6*2</f>
        <v>6</v>
      </c>
      <c r="C6">
        <v>3</v>
      </c>
    </row>
    <row r="7" spans="1:6" x14ac:dyDescent="0.25">
      <c r="A7" t="s">
        <v>18</v>
      </c>
      <c r="B7">
        <f t="shared" si="0"/>
        <v>4</v>
      </c>
      <c r="C7">
        <v>2</v>
      </c>
    </row>
    <row r="8" spans="1:6" x14ac:dyDescent="0.25">
      <c r="A8" t="s">
        <v>19</v>
      </c>
      <c r="B8">
        <f t="shared" si="0"/>
        <v>1.2</v>
      </c>
      <c r="C8">
        <v>0.6</v>
      </c>
    </row>
    <row r="9" spans="1:6" x14ac:dyDescent="0.25">
      <c r="A9" t="s">
        <v>20</v>
      </c>
      <c r="B9">
        <f t="shared" si="0"/>
        <v>20</v>
      </c>
      <c r="C9">
        <v>10</v>
      </c>
    </row>
    <row r="10" spans="1:6" x14ac:dyDescent="0.25">
      <c r="C10" t="s">
        <v>159</v>
      </c>
    </row>
    <row r="12" spans="1:6" x14ac:dyDescent="0.25">
      <c r="A12" t="s">
        <v>160</v>
      </c>
    </row>
    <row r="16" spans="1:6" x14ac:dyDescent="0.25">
      <c r="F16" s="4"/>
    </row>
    <row r="17" spans="6:6" x14ac:dyDescent="0.25">
      <c r="F17" s="4"/>
    </row>
    <row r="19" spans="6:6" x14ac:dyDescent="0.25">
      <c r="F19" s="4"/>
    </row>
    <row r="20" spans="6:6" x14ac:dyDescent="0.25">
      <c r="F20" s="4"/>
    </row>
    <row r="21" spans="6:6" x14ac:dyDescent="0.25">
      <c r="F21" s="4"/>
    </row>
    <row r="22" spans="6:6" x14ac:dyDescent="0.25">
      <c r="F22" s="4"/>
    </row>
  </sheetData>
  <sheetProtection algorithmName="SHA-512" hashValue="Hucfrqt4ojyIg3p9TM4+QUoDHOQe1IFm7x6uKawg3bZ3sAhMxFc9rWgwG8XgCTtv8Pt8fv0fwUXemnlQbDxpxQ==" saltValue="fEilW2Ng5rj90mz4WKhoR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87957-9771-4BD9-9656-046D1EAF9A03}">
  <dimension ref="A1:D32"/>
  <sheetViews>
    <sheetView workbookViewId="0">
      <selection activeCell="A22" sqref="A22"/>
    </sheetView>
  </sheetViews>
  <sheetFormatPr defaultRowHeight="15" x14ac:dyDescent="0.25"/>
  <cols>
    <col min="1" max="1" width="26.28515625" bestFit="1" customWidth="1"/>
    <col min="2" max="2" width="12.5703125" customWidth="1"/>
    <col min="3" max="3" width="12" bestFit="1" customWidth="1"/>
    <col min="4" max="4" width="20.28515625" bestFit="1" customWidth="1"/>
  </cols>
  <sheetData>
    <row r="1" spans="1:4" x14ac:dyDescent="0.25">
      <c r="A1" s="1" t="s">
        <v>36</v>
      </c>
    </row>
    <row r="3" spans="1:4" s="1" customFormat="1" x14ac:dyDescent="0.25">
      <c r="A3" s="1" t="s">
        <v>13</v>
      </c>
      <c r="B3" s="1" t="s">
        <v>89</v>
      </c>
      <c r="C3" s="1" t="s">
        <v>90</v>
      </c>
      <c r="D3" s="1" t="s">
        <v>29</v>
      </c>
    </row>
    <row r="4" spans="1:4" s="2" customFormat="1" x14ac:dyDescent="0.25">
      <c r="A4" s="2" t="s">
        <v>81</v>
      </c>
      <c r="B4" s="2">
        <f t="shared" ref="B4:B21" si="0">C4/1.24</f>
        <v>0.79032258064516125</v>
      </c>
      <c r="C4" s="2">
        <f>49/50</f>
        <v>0.98</v>
      </c>
      <c r="D4" s="2" t="s">
        <v>79</v>
      </c>
    </row>
    <row r="5" spans="1:4" x14ac:dyDescent="0.25">
      <c r="A5" t="s">
        <v>82</v>
      </c>
      <c r="B5">
        <f t="shared" si="0"/>
        <v>1.0080645161290323</v>
      </c>
      <c r="C5">
        <f>125/100</f>
        <v>1.25</v>
      </c>
      <c r="D5" t="s">
        <v>77</v>
      </c>
    </row>
    <row r="6" spans="1:4" x14ac:dyDescent="0.25">
      <c r="A6" t="s">
        <v>86</v>
      </c>
      <c r="B6" s="2">
        <f t="shared" si="0"/>
        <v>0.90322580645161299</v>
      </c>
      <c r="C6">
        <f>112/100</f>
        <v>1.1200000000000001</v>
      </c>
      <c r="D6" t="s">
        <v>85</v>
      </c>
    </row>
    <row r="7" spans="1:4" x14ac:dyDescent="0.25">
      <c r="A7" t="s">
        <v>83</v>
      </c>
      <c r="B7">
        <f t="shared" si="0"/>
        <v>0.95161290322580638</v>
      </c>
      <c r="C7">
        <f>59/50</f>
        <v>1.18</v>
      </c>
      <c r="D7" t="s">
        <v>79</v>
      </c>
    </row>
    <row r="8" spans="1:4" x14ac:dyDescent="0.25">
      <c r="A8" t="s">
        <v>78</v>
      </c>
      <c r="B8" s="2">
        <f t="shared" si="0"/>
        <v>1.2741935483870968</v>
      </c>
      <c r="C8">
        <f>79/50</f>
        <v>1.58</v>
      </c>
      <c r="D8" t="s">
        <v>79</v>
      </c>
    </row>
    <row r="9" spans="1:4" x14ac:dyDescent="0.25">
      <c r="A9" t="s">
        <v>87</v>
      </c>
      <c r="B9">
        <f t="shared" si="0"/>
        <v>0.99193548387096775</v>
      </c>
      <c r="C9">
        <f>123/100</f>
        <v>1.23</v>
      </c>
      <c r="D9" t="s">
        <v>85</v>
      </c>
    </row>
    <row r="10" spans="1:4" x14ac:dyDescent="0.25">
      <c r="A10" t="s">
        <v>80</v>
      </c>
      <c r="B10" s="2">
        <f t="shared" si="0"/>
        <v>1.596774193548387</v>
      </c>
      <c r="C10">
        <f>99/50</f>
        <v>1.98</v>
      </c>
      <c r="D10" t="s">
        <v>79</v>
      </c>
    </row>
    <row r="11" spans="1:4" x14ac:dyDescent="0.25">
      <c r="A11" t="s">
        <v>84</v>
      </c>
      <c r="B11">
        <f t="shared" si="0"/>
        <v>1.1129032258064515</v>
      </c>
      <c r="C11">
        <f>69/50</f>
        <v>1.38</v>
      </c>
      <c r="D11" t="s">
        <v>79</v>
      </c>
    </row>
    <row r="12" spans="1:4" x14ac:dyDescent="0.25">
      <c r="A12" t="s">
        <v>95</v>
      </c>
      <c r="B12" s="2">
        <f t="shared" si="0"/>
        <v>0.33480148883374689</v>
      </c>
      <c r="C12">
        <f>89.95/650*3</f>
        <v>0.41515384615384615</v>
      </c>
      <c r="D12" t="s">
        <v>88</v>
      </c>
    </row>
    <row r="13" spans="1:4" x14ac:dyDescent="0.25">
      <c r="A13" t="s">
        <v>96</v>
      </c>
      <c r="B13">
        <f t="shared" si="0"/>
        <v>0.22487903225806455</v>
      </c>
      <c r="C13">
        <f>92.95/1000*3</f>
        <v>0.27885000000000004</v>
      </c>
      <c r="D13" t="s">
        <v>88</v>
      </c>
    </row>
    <row r="14" spans="1:4" x14ac:dyDescent="0.25">
      <c r="A14" t="s">
        <v>97</v>
      </c>
      <c r="B14" s="2">
        <f t="shared" si="0"/>
        <v>0.24677419354838709</v>
      </c>
      <c r="C14">
        <f>102/1000*3</f>
        <v>0.30599999999999999</v>
      </c>
      <c r="D14" t="s">
        <v>91</v>
      </c>
    </row>
    <row r="15" spans="1:4" x14ac:dyDescent="0.25">
      <c r="A15" t="s">
        <v>98</v>
      </c>
      <c r="B15" s="2">
        <f t="shared" si="0"/>
        <v>0.16838709677419353</v>
      </c>
      <c r="C15">
        <f>17.4/250*3</f>
        <v>0.20879999999999999</v>
      </c>
      <c r="D15" t="s">
        <v>91</v>
      </c>
    </row>
    <row r="16" spans="1:4" x14ac:dyDescent="0.25">
      <c r="A16" t="s">
        <v>99</v>
      </c>
      <c r="B16" s="2">
        <f t="shared" si="0"/>
        <v>0.15459677419354836</v>
      </c>
      <c r="C16">
        <f>63.9/1000*3</f>
        <v>0.19169999999999998</v>
      </c>
      <c r="D16" t="s">
        <v>88</v>
      </c>
    </row>
    <row r="17" spans="1:4" x14ac:dyDescent="0.25">
      <c r="A17" t="s">
        <v>100</v>
      </c>
      <c r="B17">
        <f t="shared" si="0"/>
        <v>0.35080645161290319</v>
      </c>
      <c r="C17">
        <f>58/400*3</f>
        <v>0.43499999999999994</v>
      </c>
      <c r="D17" t="s">
        <v>91</v>
      </c>
    </row>
    <row r="18" spans="1:4" x14ac:dyDescent="0.25">
      <c r="A18" t="s">
        <v>101</v>
      </c>
      <c r="B18" s="2">
        <f t="shared" si="0"/>
        <v>0.36169354838709677</v>
      </c>
      <c r="C18">
        <f>29.9/200*3</f>
        <v>0.44850000000000001</v>
      </c>
      <c r="D18" t="s">
        <v>91</v>
      </c>
    </row>
    <row r="19" spans="1:4" x14ac:dyDescent="0.25">
      <c r="A19" t="s">
        <v>102</v>
      </c>
      <c r="B19">
        <f t="shared" si="0"/>
        <v>0.48024193548387101</v>
      </c>
      <c r="C19">
        <f>39.7/200*3</f>
        <v>0.59550000000000003</v>
      </c>
      <c r="D19" t="s">
        <v>91</v>
      </c>
    </row>
    <row r="20" spans="1:4" x14ac:dyDescent="0.25">
      <c r="A20" t="s">
        <v>103</v>
      </c>
      <c r="B20" s="2">
        <f t="shared" si="0"/>
        <v>0.28911290322580646</v>
      </c>
      <c r="C20">
        <f>23.9/200*3</f>
        <v>0.35849999999999999</v>
      </c>
      <c r="D20" t="s">
        <v>91</v>
      </c>
    </row>
    <row r="21" spans="1:4" x14ac:dyDescent="0.25">
      <c r="A21" t="s">
        <v>104</v>
      </c>
      <c r="B21">
        <f t="shared" si="0"/>
        <v>0.2534274193548387</v>
      </c>
      <c r="C21">
        <f>41.9/400*3</f>
        <v>0.31424999999999997</v>
      </c>
      <c r="D21" t="s">
        <v>79</v>
      </c>
    </row>
    <row r="22" spans="1:4" x14ac:dyDescent="0.25">
      <c r="B22" s="2"/>
    </row>
    <row r="24" spans="1:4" x14ac:dyDescent="0.25">
      <c r="B24" s="2"/>
    </row>
    <row r="26" spans="1:4" x14ac:dyDescent="0.25">
      <c r="B26" s="2"/>
    </row>
    <row r="28" spans="1:4" x14ac:dyDescent="0.25">
      <c r="B28" s="2"/>
    </row>
    <row r="30" spans="1:4" x14ac:dyDescent="0.25">
      <c r="B30" s="2"/>
    </row>
    <row r="32" spans="1:4" x14ac:dyDescent="0.25">
      <c r="B32" s="2"/>
    </row>
  </sheetData>
  <sheetProtection algorithmName="SHA-512" hashValue="buguBmbv2iZbkjztotSrd3iHF1kwCLMZ8DOxYzb7/WB9fhHcB+Du/fhk0MXBGnxLVyl/RZWm7OTP7ZLy7q8v4Q==" saltValue="1fWn6F/p/Uwpg3Tf8xjhuA==" spinCount="100000" sheet="1" objects="1" scenarios="1"/>
  <pageMargins left="0.7" right="0.7" top="0.75" bottom="0.75" header="0.3" footer="0.3"/>
  <pageSetup paperSize="9" orientation="portrait" horizontalDpi="90" verticalDpi="9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662EC-9607-4826-BE3D-BBE6D0BBE8BF}">
  <dimension ref="A1:G16"/>
  <sheetViews>
    <sheetView workbookViewId="0">
      <selection activeCell="A22" sqref="A22"/>
    </sheetView>
  </sheetViews>
  <sheetFormatPr defaultRowHeight="15" x14ac:dyDescent="0.25"/>
  <cols>
    <col min="1" max="1" width="41.42578125" bestFit="1" customWidth="1"/>
    <col min="2" max="2" width="13.42578125" customWidth="1"/>
    <col min="3" max="3" width="14.7109375" customWidth="1"/>
    <col min="4" max="4" width="20.28515625" bestFit="1" customWidth="1"/>
    <col min="7" max="7" width="13.28515625" bestFit="1" customWidth="1"/>
  </cols>
  <sheetData>
    <row r="1" spans="1:7" x14ac:dyDescent="0.25">
      <c r="A1" s="1" t="s">
        <v>36</v>
      </c>
    </row>
    <row r="2" spans="1:7" x14ac:dyDescent="0.25">
      <c r="G2" s="1"/>
    </row>
    <row r="3" spans="1:7" s="1" customFormat="1" x14ac:dyDescent="0.25">
      <c r="A3" s="1" t="s">
        <v>74</v>
      </c>
      <c r="B3" s="1" t="s">
        <v>94</v>
      </c>
      <c r="C3" s="1" t="s">
        <v>93</v>
      </c>
      <c r="D3" s="1" t="s">
        <v>29</v>
      </c>
    </row>
    <row r="4" spans="1:7" x14ac:dyDescent="0.25">
      <c r="A4" t="s">
        <v>114</v>
      </c>
      <c r="B4">
        <f t="shared" ref="B4:B16" si="0">C4/1.24</f>
        <v>3.7379032258064515</v>
      </c>
      <c r="C4">
        <f>3.45+(3.95/10*3)</f>
        <v>4.6349999999999998</v>
      </c>
      <c r="D4" t="s">
        <v>115</v>
      </c>
    </row>
    <row r="5" spans="1:7" x14ac:dyDescent="0.25">
      <c r="A5" t="s">
        <v>182</v>
      </c>
      <c r="B5">
        <f t="shared" si="0"/>
        <v>6.0483870967741939</v>
      </c>
      <c r="C5">
        <v>7.5</v>
      </c>
      <c r="D5" t="s">
        <v>79</v>
      </c>
    </row>
    <row r="6" spans="1:7" x14ac:dyDescent="0.25">
      <c r="A6" t="s">
        <v>183</v>
      </c>
      <c r="B6">
        <f t="shared" si="0"/>
        <v>3.508064516129032</v>
      </c>
      <c r="C6">
        <v>4.3499999999999996</v>
      </c>
      <c r="D6" t="s">
        <v>79</v>
      </c>
    </row>
    <row r="7" spans="1:7" x14ac:dyDescent="0.25">
      <c r="A7" t="s">
        <v>184</v>
      </c>
      <c r="B7">
        <f t="shared" si="0"/>
        <v>2.782258064516129</v>
      </c>
      <c r="C7">
        <v>3.45</v>
      </c>
      <c r="D7" t="s">
        <v>79</v>
      </c>
    </row>
    <row r="8" spans="1:7" x14ac:dyDescent="0.25">
      <c r="A8" t="s">
        <v>105</v>
      </c>
      <c r="B8">
        <f t="shared" si="0"/>
        <v>1.4919354838709677</v>
      </c>
      <c r="C8">
        <v>1.85</v>
      </c>
      <c r="D8" t="s">
        <v>79</v>
      </c>
    </row>
    <row r="9" spans="1:7" x14ac:dyDescent="0.25">
      <c r="A9" t="s">
        <v>106</v>
      </c>
      <c r="B9">
        <f t="shared" si="0"/>
        <v>1.4919354838709677</v>
      </c>
      <c r="C9">
        <v>1.85</v>
      </c>
      <c r="D9" t="s">
        <v>79</v>
      </c>
    </row>
    <row r="10" spans="1:7" x14ac:dyDescent="0.25">
      <c r="A10" t="s">
        <v>107</v>
      </c>
      <c r="B10">
        <f t="shared" si="0"/>
        <v>1.6532258064516128</v>
      </c>
      <c r="C10">
        <v>2.0499999999999998</v>
      </c>
      <c r="D10" t="s">
        <v>79</v>
      </c>
    </row>
    <row r="11" spans="1:7" x14ac:dyDescent="0.25">
      <c r="A11" t="s">
        <v>108</v>
      </c>
      <c r="B11">
        <f t="shared" si="0"/>
        <v>1.8951612903225807</v>
      </c>
      <c r="C11">
        <v>2.35</v>
      </c>
      <c r="D11" t="s">
        <v>79</v>
      </c>
    </row>
    <row r="12" spans="1:7" x14ac:dyDescent="0.25">
      <c r="A12" t="s">
        <v>109</v>
      </c>
      <c r="B12">
        <f t="shared" si="0"/>
        <v>3.1048387096774195</v>
      </c>
      <c r="C12">
        <v>3.85</v>
      </c>
      <c r="D12" t="s">
        <v>79</v>
      </c>
    </row>
    <row r="13" spans="1:7" x14ac:dyDescent="0.25">
      <c r="A13" t="s">
        <v>110</v>
      </c>
      <c r="B13">
        <f t="shared" si="0"/>
        <v>1.8467741935483872</v>
      </c>
      <c r="C13">
        <f>114.5/50</f>
        <v>2.29</v>
      </c>
      <c r="D13" t="s">
        <v>79</v>
      </c>
    </row>
    <row r="14" spans="1:7" x14ac:dyDescent="0.25">
      <c r="A14" t="s">
        <v>111</v>
      </c>
      <c r="B14">
        <f t="shared" si="0"/>
        <v>1.2862903225806452</v>
      </c>
      <c r="C14">
        <f>15.95/10</f>
        <v>1.595</v>
      </c>
      <c r="D14" t="s">
        <v>79</v>
      </c>
    </row>
    <row r="15" spans="1:7" x14ac:dyDescent="0.25">
      <c r="A15" t="s">
        <v>112</v>
      </c>
      <c r="B15">
        <f t="shared" si="0"/>
        <v>1.6088709677419355</v>
      </c>
      <c r="C15">
        <f>19.95/10</f>
        <v>1.9949999999999999</v>
      </c>
      <c r="D15" t="s">
        <v>79</v>
      </c>
    </row>
    <row r="16" spans="1:7" x14ac:dyDescent="0.25">
      <c r="A16" t="s">
        <v>113</v>
      </c>
      <c r="B16">
        <f t="shared" si="0"/>
        <v>2.17741935483871</v>
      </c>
      <c r="C16">
        <v>2.7</v>
      </c>
      <c r="D16" t="s">
        <v>91</v>
      </c>
    </row>
  </sheetData>
  <sheetProtection algorithmName="SHA-512" hashValue="Qy5QCK7HmXD2sdNoUx+oemz9Ns16Vqlqw7P1fHOUPYk7evzwDzceWdig3R9xLatEoSRJIp8TvBUFeklYKy+E2A==" saltValue="OGsayXYtnaTGEoTjydp/pA==" spinCount="100000" sheet="1" objects="1" scenarios="1"/>
  <pageMargins left="0.7" right="0.7" top="0.75" bottom="0.75" header="0.3" footer="0.3"/>
  <pageSetup paperSize="9" orientation="portrait" horizontalDpi="90" verticalDpi="9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BB8B-3DC9-445C-869B-38F519705870}">
  <dimension ref="A1:C10"/>
  <sheetViews>
    <sheetView workbookViewId="0">
      <selection activeCell="A22" sqref="A22"/>
    </sheetView>
  </sheetViews>
  <sheetFormatPr defaultRowHeight="15" x14ac:dyDescent="0.25"/>
  <cols>
    <col min="1" max="1" width="32.7109375" bestFit="1" customWidth="1"/>
    <col min="2" max="2" width="13.42578125" customWidth="1"/>
    <col min="3" max="3" width="14.7109375" customWidth="1"/>
  </cols>
  <sheetData>
    <row r="1" spans="1:3" x14ac:dyDescent="0.25">
      <c r="A1" s="1" t="s">
        <v>36</v>
      </c>
      <c r="C1" t="s">
        <v>129</v>
      </c>
    </row>
    <row r="3" spans="1:3" s="1" customFormat="1" x14ac:dyDescent="0.25">
      <c r="A3" s="1" t="s">
        <v>126</v>
      </c>
      <c r="B3" s="1" t="s">
        <v>94</v>
      </c>
      <c r="C3" s="1" t="s">
        <v>93</v>
      </c>
    </row>
    <row r="4" spans="1:3" x14ac:dyDescent="0.25">
      <c r="A4" t="s">
        <v>92</v>
      </c>
      <c r="B4">
        <v>0</v>
      </c>
      <c r="C4">
        <v>0</v>
      </c>
    </row>
    <row r="5" spans="1:3" x14ac:dyDescent="0.25">
      <c r="A5" t="s">
        <v>124</v>
      </c>
      <c r="B5">
        <f t="shared" ref="B5:B10" si="0">C5/1.24</f>
        <v>137.09677419354838</v>
      </c>
      <c r="C5">
        <v>170</v>
      </c>
    </row>
    <row r="6" spans="1:3" x14ac:dyDescent="0.25">
      <c r="A6" t="s">
        <v>122</v>
      </c>
      <c r="B6">
        <f t="shared" si="0"/>
        <v>201.61290322580646</v>
      </c>
      <c r="C6">
        <v>250</v>
      </c>
    </row>
    <row r="7" spans="1:3" x14ac:dyDescent="0.25">
      <c r="A7" t="s">
        <v>123</v>
      </c>
      <c r="B7">
        <f t="shared" si="0"/>
        <v>298.38709677419354</v>
      </c>
      <c r="C7">
        <v>370</v>
      </c>
    </row>
    <row r="8" spans="1:3" x14ac:dyDescent="0.25">
      <c r="A8" t="s">
        <v>125</v>
      </c>
      <c r="B8">
        <f t="shared" si="0"/>
        <v>201.61290322580646</v>
      </c>
      <c r="C8">
        <v>250</v>
      </c>
    </row>
    <row r="9" spans="1:3" x14ac:dyDescent="0.25">
      <c r="A9" t="s">
        <v>127</v>
      </c>
      <c r="B9">
        <f t="shared" si="0"/>
        <v>282.25806451612902</v>
      </c>
      <c r="C9">
        <v>350</v>
      </c>
    </row>
    <row r="10" spans="1:3" x14ac:dyDescent="0.25">
      <c r="A10" t="s">
        <v>128</v>
      </c>
      <c r="B10">
        <f t="shared" si="0"/>
        <v>403.22580645161293</v>
      </c>
      <c r="C10">
        <v>500</v>
      </c>
    </row>
  </sheetData>
  <sheetProtection algorithmName="SHA-512" hashValue="PyoP2EK04TwnyvVbKPBIGqeu1GnQINITPUmkhloVP02ZdguVSg76eXwnMbkPSReLEtPALvMc/FsOqod0Ks/zcA==" saltValue="oh6Clr17fAXJZimoOxhX3A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1</vt:i4>
      </vt:variant>
    </vt:vector>
  </HeadingPairs>
  <TitlesOfParts>
    <vt:vector size="7" baseType="lpstr">
      <vt:lpstr>Lammaslaskuri</vt:lpstr>
      <vt:lpstr>Tausta-arvot</vt:lpstr>
      <vt:lpstr>Laiduntyyppi</vt:lpstr>
      <vt:lpstr>Aitatyyppi</vt:lpstr>
      <vt:lpstr>Tolppatyyppi</vt:lpstr>
      <vt:lpstr>Paimentyyppi</vt:lpstr>
      <vt:lpstr>Laiduntyyppi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Sini Sillanpää</dc:creator>
  <cp:lastModifiedBy>Elina Lokasaari</cp:lastModifiedBy>
  <dcterms:created xsi:type="dcterms:W3CDTF">2019-12-19T14:56:02Z</dcterms:created>
  <dcterms:modified xsi:type="dcterms:W3CDTF">2020-01-21T08:49:42Z</dcterms:modified>
</cp:coreProperties>
</file>